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Skola\Zajednicki dokumenti\Izvjesca, planovi i znacajniji dokumenti\Financijski planovi, obracuni poslovanja, rebalansi\"/>
    </mc:Choice>
  </mc:AlternateContent>
  <xr:revisionPtr revIDLastSave="0" documentId="13_ncr:1_{673C39AA-DA35-4E03-A1B8-9372B4493421}" xr6:coauthVersionLast="47" xr6:coauthVersionMax="47" xr10:uidLastSave="{00000000-0000-0000-0000-000000000000}"/>
  <bookViews>
    <workbookView xWindow="-120" yWindow="-120" windowWidth="29040" windowHeight="15840" tabRatio="720" activeTab="1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3" l="1"/>
  <c r="F13" i="3"/>
  <c r="F12" i="3"/>
  <c r="F29" i="3"/>
  <c r="I7" i="7"/>
  <c r="H7" i="7"/>
  <c r="G7" i="7"/>
  <c r="G120" i="7"/>
  <c r="G117" i="7"/>
  <c r="G115" i="7"/>
  <c r="G113" i="7"/>
  <c r="G112" i="7" s="1"/>
  <c r="G28" i="7"/>
  <c r="G33" i="7"/>
  <c r="G32" i="7" s="1"/>
  <c r="G30" i="7"/>
  <c r="G24" i="7"/>
  <c r="G144" i="7"/>
  <c r="E152" i="7"/>
  <c r="E151" i="7" s="1"/>
  <c r="G164" i="7"/>
  <c r="G163" i="7" s="1"/>
  <c r="H163" i="7" s="1"/>
  <c r="I163" i="7" s="1"/>
  <c r="F164" i="7"/>
  <c r="E164" i="7"/>
  <c r="E163" i="7" s="1"/>
  <c r="F163" i="7"/>
  <c r="G161" i="7"/>
  <c r="F161" i="7"/>
  <c r="E161" i="7"/>
  <c r="G159" i="7"/>
  <c r="F159" i="7"/>
  <c r="E159" i="7"/>
  <c r="G157" i="7"/>
  <c r="F157" i="7"/>
  <c r="F156" i="7" s="1"/>
  <c r="E157" i="7"/>
  <c r="G152" i="7"/>
  <c r="G151" i="7" s="1"/>
  <c r="H151" i="7" s="1"/>
  <c r="I151" i="7" s="1"/>
  <c r="F152" i="7"/>
  <c r="F151" i="7" s="1"/>
  <c r="E149" i="7"/>
  <c r="G149" i="7"/>
  <c r="F149" i="7"/>
  <c r="G147" i="7"/>
  <c r="F147" i="7"/>
  <c r="E147" i="7"/>
  <c r="G145" i="7"/>
  <c r="F145" i="7"/>
  <c r="F144" i="7" s="1"/>
  <c r="E145" i="7"/>
  <c r="J12" i="10"/>
  <c r="I12" i="10"/>
  <c r="J9" i="10"/>
  <c r="I9" i="10"/>
  <c r="H52" i="3"/>
  <c r="G52" i="3"/>
  <c r="H27" i="3"/>
  <c r="G27" i="3"/>
  <c r="F28" i="8"/>
  <c r="F12" i="8"/>
  <c r="E12" i="8"/>
  <c r="F13" i="5"/>
  <c r="E28" i="8"/>
  <c r="E13" i="5"/>
  <c r="I137" i="7"/>
  <c r="H137" i="7"/>
  <c r="I130" i="7"/>
  <c r="H130" i="7"/>
  <c r="I123" i="7"/>
  <c r="H123" i="7"/>
  <c r="I74" i="7"/>
  <c r="H74" i="7"/>
  <c r="I69" i="7"/>
  <c r="H69" i="7"/>
  <c r="I55" i="7"/>
  <c r="H55" i="7"/>
  <c r="I48" i="7"/>
  <c r="H48" i="7"/>
  <c r="I43" i="7"/>
  <c r="H43" i="7"/>
  <c r="I38" i="7"/>
  <c r="H38" i="7"/>
  <c r="I17" i="7"/>
  <c r="H17" i="7"/>
  <c r="I11" i="7"/>
  <c r="H10" i="7"/>
  <c r="H11" i="7"/>
  <c r="G39" i="7"/>
  <c r="E39" i="7"/>
  <c r="E38" i="7" s="1"/>
  <c r="E87" i="7"/>
  <c r="E35" i="7"/>
  <c r="E24" i="7"/>
  <c r="E67" i="7"/>
  <c r="E103" i="7"/>
  <c r="E101" i="7" s="1"/>
  <c r="E62" i="7"/>
  <c r="E59" i="7"/>
  <c r="E58" i="7" s="1"/>
  <c r="E15" i="7"/>
  <c r="E18" i="7"/>
  <c r="E17" i="7" s="1"/>
  <c r="E12" i="7"/>
  <c r="E11" i="7" s="1"/>
  <c r="E34" i="7"/>
  <c r="E36" i="7"/>
  <c r="E49" i="7"/>
  <c r="E53" i="7"/>
  <c r="E56" i="7"/>
  <c r="F56" i="7"/>
  <c r="F58" i="7"/>
  <c r="F101" i="7"/>
  <c r="F124" i="7"/>
  <c r="E125" i="7"/>
  <c r="E124" i="7" s="1"/>
  <c r="E44" i="7"/>
  <c r="E43" i="7" s="1"/>
  <c r="E42" i="7" s="1"/>
  <c r="F44" i="7"/>
  <c r="E70" i="7"/>
  <c r="E69" i="7" s="1"/>
  <c r="E68" i="7" s="1"/>
  <c r="F70" i="7"/>
  <c r="F69" i="7" s="1"/>
  <c r="F68" i="7" s="1"/>
  <c r="F75" i="7"/>
  <c r="F74" i="7" s="1"/>
  <c r="F73" i="7" s="1"/>
  <c r="E76" i="7"/>
  <c r="E75" i="7" s="1"/>
  <c r="E74" i="7" s="1"/>
  <c r="E73" i="7" s="1"/>
  <c r="E72" i="7" s="1"/>
  <c r="F39" i="7"/>
  <c r="F38" i="7" s="1"/>
  <c r="E105" i="7"/>
  <c r="E104" i="7" s="1"/>
  <c r="E64" i="7"/>
  <c r="E99" i="7"/>
  <c r="E98" i="7"/>
  <c r="E97" i="7"/>
  <c r="E96" i="7"/>
  <c r="E95" i="7"/>
  <c r="E94" i="7"/>
  <c r="F62" i="7"/>
  <c r="F82" i="7"/>
  <c r="E91" i="7"/>
  <c r="E90" i="7"/>
  <c r="E89" i="7"/>
  <c r="E88" i="7"/>
  <c r="F138" i="7"/>
  <c r="F137" i="7" s="1"/>
  <c r="F136" i="7" s="1"/>
  <c r="F135" i="7" s="1"/>
  <c r="G138" i="7"/>
  <c r="E139" i="7"/>
  <c r="E138" i="7" s="1"/>
  <c r="E137" i="7" s="1"/>
  <c r="E136" i="7" s="1"/>
  <c r="E135" i="7" s="1"/>
  <c r="E134" i="7" s="1"/>
  <c r="E120" i="7"/>
  <c r="E119" i="7" s="1"/>
  <c r="E118" i="7" s="1"/>
  <c r="E115" i="7"/>
  <c r="E114" i="7" s="1"/>
  <c r="E85" i="7"/>
  <c r="E84" i="7"/>
  <c r="E132" i="7"/>
  <c r="E131" i="7" s="1"/>
  <c r="E130" i="7" s="1"/>
  <c r="E33" i="7"/>
  <c r="E32" i="7" s="1"/>
  <c r="E83" i="7"/>
  <c r="E30" i="7"/>
  <c r="E29" i="7" s="1"/>
  <c r="E129" i="7"/>
  <c r="E128" i="7" s="1"/>
  <c r="E117" i="7"/>
  <c r="E116" i="7" s="1"/>
  <c r="E28" i="7"/>
  <c r="E27" i="7" s="1"/>
  <c r="E52" i="7"/>
  <c r="E51" i="7" s="1"/>
  <c r="E127" i="7"/>
  <c r="E126" i="7" s="1"/>
  <c r="E50" i="7"/>
  <c r="E26" i="7"/>
  <c r="E25" i="7"/>
  <c r="E113" i="7"/>
  <c r="E112" i="7" s="1"/>
  <c r="D13" i="5"/>
  <c r="D34" i="8"/>
  <c r="D28" i="8"/>
  <c r="F43" i="3"/>
  <c r="F49" i="3"/>
  <c r="F45" i="3"/>
  <c r="G128" i="7"/>
  <c r="G126" i="7"/>
  <c r="G124" i="7"/>
  <c r="F16" i="3"/>
  <c r="G156" i="7" l="1"/>
  <c r="G155" i="7" s="1"/>
  <c r="G154" i="7" s="1"/>
  <c r="G143" i="7"/>
  <c r="G142" i="7" s="1"/>
  <c r="E156" i="7"/>
  <c r="E155" i="7" s="1"/>
  <c r="E154" i="7" s="1"/>
  <c r="F155" i="7"/>
  <c r="F154" i="7" s="1"/>
  <c r="F143" i="7"/>
  <c r="F142" i="7" s="1"/>
  <c r="E144" i="7"/>
  <c r="E143" i="7" s="1"/>
  <c r="E142" i="7" s="1"/>
  <c r="H156" i="7"/>
  <c r="E23" i="7"/>
  <c r="E22" i="7" s="1"/>
  <c r="E86" i="7"/>
  <c r="E93" i="7"/>
  <c r="E48" i="7"/>
  <c r="E82" i="7"/>
  <c r="E81" i="7" s="1"/>
  <c r="E80" i="7" s="1"/>
  <c r="E79" i="7" s="1"/>
  <c r="E78" i="7" s="1"/>
  <c r="E10" i="7"/>
  <c r="E9" i="7" s="1"/>
  <c r="E111" i="7"/>
  <c r="E110" i="7" s="1"/>
  <c r="E109" i="7" s="1"/>
  <c r="E55" i="7"/>
  <c r="E31" i="7"/>
  <c r="E21" i="7" s="1"/>
  <c r="E20" i="7" s="1"/>
  <c r="G123" i="7"/>
  <c r="E123" i="7"/>
  <c r="E122" i="7" s="1"/>
  <c r="E121" i="7" s="1"/>
  <c r="E108" i="7" s="1"/>
  <c r="D12" i="5"/>
  <c r="F12" i="5"/>
  <c r="E12" i="5"/>
  <c r="F14" i="5"/>
  <c r="E14" i="5"/>
  <c r="C28" i="8"/>
  <c r="C10" i="8"/>
  <c r="C12" i="8"/>
  <c r="C20" i="8"/>
  <c r="G141" i="7" l="1"/>
  <c r="H144" i="7"/>
  <c r="F141" i="7"/>
  <c r="E141" i="7"/>
  <c r="H143" i="7"/>
  <c r="H142" i="7" s="1"/>
  <c r="I144" i="7"/>
  <c r="I143" i="7" s="1"/>
  <c r="I142" i="7" s="1"/>
  <c r="I156" i="7"/>
  <c r="I155" i="7" s="1"/>
  <c r="I154" i="7" s="1"/>
  <c r="H155" i="7"/>
  <c r="H154" i="7" s="1"/>
  <c r="E47" i="7"/>
  <c r="E46" i="7" s="1"/>
  <c r="E8" i="7"/>
  <c r="E7" i="7" s="1"/>
  <c r="H141" i="7" l="1"/>
  <c r="I141" i="7"/>
  <c r="E16" i="8"/>
  <c r="C15" i="8"/>
  <c r="F37" i="8"/>
  <c r="E37" i="8"/>
  <c r="E35" i="8"/>
  <c r="F35" i="8" s="1"/>
  <c r="E34" i="8"/>
  <c r="F34" i="8" s="1"/>
  <c r="F32" i="8"/>
  <c r="E32" i="8"/>
  <c r="F30" i="8"/>
  <c r="E30" i="8"/>
  <c r="D33" i="8"/>
  <c r="D31" i="8"/>
  <c r="C31" i="8"/>
  <c r="B31" i="8"/>
  <c r="B28" i="8"/>
  <c r="B12" i="8"/>
  <c r="B11" i="8" s="1"/>
  <c r="B15" i="8"/>
  <c r="G87" i="7" l="1"/>
  <c r="F86" i="7"/>
  <c r="F93" i="7"/>
  <c r="F105" i="7"/>
  <c r="F104" i="7" s="1"/>
  <c r="F64" i="7"/>
  <c r="F55" i="7" s="1"/>
  <c r="F49" i="7"/>
  <c r="F51" i="7"/>
  <c r="F53" i="7"/>
  <c r="F36" i="7"/>
  <c r="F32" i="7"/>
  <c r="F34" i="7"/>
  <c r="F43" i="7"/>
  <c r="F42" i="7" s="1"/>
  <c r="F23" i="7"/>
  <c r="F27" i="7"/>
  <c r="F29" i="7"/>
  <c r="F126" i="7"/>
  <c r="F128" i="7"/>
  <c r="F18" i="7"/>
  <c r="F17" i="7" s="1"/>
  <c r="G18" i="7"/>
  <c r="G17" i="7" s="1"/>
  <c r="F12" i="7"/>
  <c r="F11" i="7" s="1"/>
  <c r="G15" i="7"/>
  <c r="F15" i="7"/>
  <c r="F112" i="7"/>
  <c r="F114" i="7"/>
  <c r="F116" i="7"/>
  <c r="F119" i="7"/>
  <c r="F118" i="7" s="1"/>
  <c r="F131" i="7"/>
  <c r="F130" i="7" s="1"/>
  <c r="G131" i="7"/>
  <c r="G130" i="7" s="1"/>
  <c r="G122" i="7" s="1"/>
  <c r="F81" i="7" l="1"/>
  <c r="F80" i="7" s="1"/>
  <c r="F22" i="7"/>
  <c r="F123" i="7"/>
  <c r="F122" i="7" s="1"/>
  <c r="F121" i="7" s="1"/>
  <c r="F48" i="7"/>
  <c r="F31" i="7"/>
  <c r="F10" i="7"/>
  <c r="F111" i="7"/>
  <c r="F110" i="7" s="1"/>
  <c r="F109" i="7" s="1"/>
  <c r="F21" i="7" l="1"/>
  <c r="F79" i="7"/>
  <c r="F78" i="7" s="1"/>
  <c r="H122" i="7"/>
  <c r="H121" i="7" s="1"/>
  <c r="I122" i="7"/>
  <c r="I121" i="7" s="1"/>
  <c r="F47" i="7"/>
  <c r="G56" i="7"/>
  <c r="G58" i="7"/>
  <c r="G62" i="7"/>
  <c r="G64" i="7"/>
  <c r="G27" i="7"/>
  <c r="G26" i="7"/>
  <c r="G95" i="7"/>
  <c r="G90" i="7"/>
  <c r="G105" i="7"/>
  <c r="G104" i="7" s="1"/>
  <c r="G101" i="7"/>
  <c r="G99" i="7"/>
  <c r="G97" i="7"/>
  <c r="G96" i="7"/>
  <c r="G89" i="7"/>
  <c r="G83" i="7"/>
  <c r="G82" i="7" s="1"/>
  <c r="G34" i="7"/>
  <c r="G12" i="7"/>
  <c r="G11" i="7" s="1"/>
  <c r="G49" i="7"/>
  <c r="G51" i="7"/>
  <c r="G53" i="7"/>
  <c r="G70" i="7"/>
  <c r="G29" i="7"/>
  <c r="G75" i="7"/>
  <c r="G74" i="7" s="1"/>
  <c r="G137" i="7"/>
  <c r="G114" i="7"/>
  <c r="G119" i="7"/>
  <c r="G118" i="7" s="1"/>
  <c r="H118" i="7" s="1"/>
  <c r="I118" i="7" s="1"/>
  <c r="G116" i="7"/>
  <c r="G36" i="7"/>
  <c r="G38" i="7"/>
  <c r="G44" i="7"/>
  <c r="G43" i="7" s="1"/>
  <c r="D17" i="8"/>
  <c r="E21" i="8"/>
  <c r="E20" i="8" s="1"/>
  <c r="E19" i="8"/>
  <c r="F19" i="8" s="1"/>
  <c r="E18" i="8"/>
  <c r="D15" i="8"/>
  <c r="F16" i="8"/>
  <c r="F15" i="8" s="1"/>
  <c r="E14" i="8"/>
  <c r="F14" i="8" s="1"/>
  <c r="F13" i="8" s="1"/>
  <c r="E11" i="8"/>
  <c r="J13" i="10"/>
  <c r="I13" i="10"/>
  <c r="G87" i="3"/>
  <c r="H87" i="3"/>
  <c r="E54" i="3"/>
  <c r="D47" i="3"/>
  <c r="F87" i="3"/>
  <c r="D82" i="3"/>
  <c r="E82" i="3"/>
  <c r="E87" i="3"/>
  <c r="D88" i="3"/>
  <c r="D87" i="3" s="1"/>
  <c r="D73" i="3"/>
  <c r="D67" i="3"/>
  <c r="D59" i="3"/>
  <c r="D52" i="3"/>
  <c r="D44" i="3"/>
  <c r="D42" i="3"/>
  <c r="G10" i="7" l="1"/>
  <c r="G136" i="7"/>
  <c r="I73" i="7"/>
  <c r="I72" i="7" s="1"/>
  <c r="H73" i="7"/>
  <c r="H72" i="7" s="1"/>
  <c r="G42" i="7"/>
  <c r="E17" i="8"/>
  <c r="E15" i="8"/>
  <c r="F21" i="8"/>
  <c r="F20" i="8" s="1"/>
  <c r="F18" i="8"/>
  <c r="F17" i="8" s="1"/>
  <c r="E13" i="8"/>
  <c r="G69" i="7"/>
  <c r="G121" i="7"/>
  <c r="G55" i="7"/>
  <c r="G9" i="7"/>
  <c r="G86" i="7"/>
  <c r="G93" i="7"/>
  <c r="G31" i="7"/>
  <c r="H31" i="7" s="1"/>
  <c r="I31" i="7" s="1"/>
  <c r="G48" i="7"/>
  <c r="G111" i="7"/>
  <c r="H111" i="7" s="1"/>
  <c r="I111" i="7" s="1"/>
  <c r="G23" i="7"/>
  <c r="G22" i="7" s="1"/>
  <c r="H22" i="7" s="1"/>
  <c r="I22" i="7" s="1"/>
  <c r="F11" i="8"/>
  <c r="I136" i="7" l="1"/>
  <c r="I135" i="7" s="1"/>
  <c r="I134" i="7" s="1"/>
  <c r="H136" i="7"/>
  <c r="H135" i="7" s="1"/>
  <c r="H134" i="7" s="1"/>
  <c r="I42" i="7"/>
  <c r="H42" i="7"/>
  <c r="G68" i="7"/>
  <c r="I10" i="7"/>
  <c r="I9" i="7" s="1"/>
  <c r="H9" i="7"/>
  <c r="G47" i="7"/>
  <c r="G46" i="7" s="1"/>
  <c r="I47" i="7"/>
  <c r="I21" i="7"/>
  <c r="I20" i="7" s="1"/>
  <c r="I8" i="7" s="1"/>
  <c r="H21" i="7"/>
  <c r="H20" i="7" s="1"/>
  <c r="H8" i="7" s="1"/>
  <c r="G110" i="7"/>
  <c r="G81" i="7"/>
  <c r="G21" i="7"/>
  <c r="G20" i="7" s="1"/>
  <c r="I68" i="7" l="1"/>
  <c r="I46" i="7" s="1"/>
  <c r="H68" i="7"/>
  <c r="G80" i="7"/>
  <c r="G79" i="7" s="1"/>
  <c r="H47" i="7"/>
  <c r="H110" i="7"/>
  <c r="H109" i="7" s="1"/>
  <c r="H108" i="7" s="1"/>
  <c r="I110" i="7"/>
  <c r="I109" i="7" s="1"/>
  <c r="I108" i="7" s="1"/>
  <c r="E73" i="3"/>
  <c r="F73" i="3"/>
  <c r="G73" i="3" s="1"/>
  <c r="E77" i="3"/>
  <c r="E76" i="3" s="1"/>
  <c r="F77" i="3"/>
  <c r="F82" i="3"/>
  <c r="G82" i="3" s="1"/>
  <c r="E71" i="3"/>
  <c r="E67" i="3" s="1"/>
  <c r="E66" i="3"/>
  <c r="E62" i="3"/>
  <c r="E61" i="3"/>
  <c r="E59" i="3" s="1"/>
  <c r="E57" i="3"/>
  <c r="E52" i="3" s="1"/>
  <c r="E56" i="3"/>
  <c r="E48" i="3"/>
  <c r="E49" i="3"/>
  <c r="E45" i="3"/>
  <c r="E44" i="3" s="1"/>
  <c r="E43" i="3"/>
  <c r="E42" i="3" s="1"/>
  <c r="E39" i="3"/>
  <c r="E86" i="3"/>
  <c r="E41" i="3"/>
  <c r="E40" i="3"/>
  <c r="H46" i="7" l="1"/>
  <c r="H80" i="7"/>
  <c r="I80" i="7"/>
  <c r="H82" i="3"/>
  <c r="G72" i="3"/>
  <c r="H73" i="3"/>
  <c r="F76" i="3"/>
  <c r="G77" i="3"/>
  <c r="H77" i="3" s="1"/>
  <c r="H76" i="3" s="1"/>
  <c r="E38" i="3"/>
  <c r="E37" i="3" s="1"/>
  <c r="E47" i="3"/>
  <c r="E46" i="3" s="1"/>
  <c r="F61" i="3"/>
  <c r="F56" i="3"/>
  <c r="F71" i="3"/>
  <c r="F70" i="3"/>
  <c r="F66" i="3"/>
  <c r="F65" i="3"/>
  <c r="F63" i="3"/>
  <c r="F62" i="3"/>
  <c r="F57" i="3"/>
  <c r="F53" i="3"/>
  <c r="F48" i="3"/>
  <c r="F55" i="3"/>
  <c r="F41" i="3"/>
  <c r="F40" i="3"/>
  <c r="F86" i="3"/>
  <c r="F85" i="3" s="1"/>
  <c r="G85" i="3" s="1"/>
  <c r="H85" i="3" s="1"/>
  <c r="F54" i="3"/>
  <c r="F20" i="3"/>
  <c r="F72" i="3"/>
  <c r="D85" i="3"/>
  <c r="D81" i="3" s="1"/>
  <c r="D80" i="3" s="1"/>
  <c r="E85" i="3"/>
  <c r="E81" i="3" s="1"/>
  <c r="E80" i="3"/>
  <c r="D77" i="3"/>
  <c r="D76" i="3" s="1"/>
  <c r="G76" i="3"/>
  <c r="D72" i="3"/>
  <c r="H72" i="3"/>
  <c r="E72" i="3"/>
  <c r="I79" i="7" l="1"/>
  <c r="I78" i="7" s="1"/>
  <c r="H79" i="7"/>
  <c r="H78" i="7" s="1"/>
  <c r="H81" i="3"/>
  <c r="H80" i="3" s="1"/>
  <c r="G81" i="3"/>
  <c r="G80" i="3" s="1"/>
  <c r="E36" i="3"/>
  <c r="E35" i="3" s="1"/>
  <c r="F47" i="3"/>
  <c r="F67" i="3"/>
  <c r="G67" i="3" s="1"/>
  <c r="H67" i="3" s="1"/>
  <c r="F52" i="3"/>
  <c r="F81" i="3"/>
  <c r="F80" i="3" s="1"/>
  <c r="G47" i="3" l="1"/>
  <c r="F59" i="3"/>
  <c r="G59" i="3" s="1"/>
  <c r="H59" i="3" s="1"/>
  <c r="D46" i="3"/>
  <c r="F44" i="3"/>
  <c r="G44" i="3" s="1"/>
  <c r="F42" i="3"/>
  <c r="G42" i="3" s="1"/>
  <c r="H42" i="3" s="1"/>
  <c r="F38" i="3"/>
  <c r="G38" i="3" s="1"/>
  <c r="H38" i="3" s="1"/>
  <c r="D38" i="3"/>
  <c r="H8" i="10"/>
  <c r="F22" i="3"/>
  <c r="F134" i="7"/>
  <c r="F72" i="7"/>
  <c r="G73" i="7"/>
  <c r="G72" i="7" s="1"/>
  <c r="G8" i="7" s="1"/>
  <c r="F46" i="7"/>
  <c r="F20" i="7"/>
  <c r="F108" i="7"/>
  <c r="F46" i="3" l="1"/>
  <c r="F8" i="7"/>
  <c r="F7" i="7" s="1"/>
  <c r="H44" i="3"/>
  <c r="H37" i="3" s="1"/>
  <c r="G37" i="3"/>
  <c r="G46" i="3"/>
  <c r="H47" i="3"/>
  <c r="H46" i="3" s="1"/>
  <c r="F37" i="3"/>
  <c r="F36" i="3" s="1"/>
  <c r="F35" i="3" s="1"/>
  <c r="D37" i="3"/>
  <c r="D36" i="3" s="1"/>
  <c r="D35" i="3" s="1"/>
  <c r="G135" i="7"/>
  <c r="G134" i="7" s="1"/>
  <c r="G78" i="7"/>
  <c r="G109" i="7"/>
  <c r="G108" i="7" s="1"/>
  <c r="D28" i="3"/>
  <c r="G36" i="3" l="1"/>
  <c r="G35" i="3" s="1"/>
  <c r="H36" i="3"/>
  <c r="H35" i="3" s="1"/>
  <c r="E12" i="3"/>
  <c r="E15" i="3"/>
  <c r="G8" i="10"/>
  <c r="J27" i="10" l="1"/>
  <c r="I27" i="10"/>
  <c r="G34" i="10" l="1"/>
  <c r="E36" i="8" l="1"/>
  <c r="F36" i="8"/>
  <c r="F33" i="8"/>
  <c r="F31" i="8"/>
  <c r="E31" i="8"/>
  <c r="F29" i="8"/>
  <c r="E29" i="8"/>
  <c r="F27" i="8"/>
  <c r="E27" i="8"/>
  <c r="B27" i="8"/>
  <c r="B29" i="8"/>
  <c r="B36" i="8"/>
  <c r="C36" i="8"/>
  <c r="C33" i="8"/>
  <c r="C29" i="8"/>
  <c r="D36" i="8"/>
  <c r="D29" i="8"/>
  <c r="D20" i="8"/>
  <c r="B20" i="8"/>
  <c r="B17" i="8"/>
  <c r="B13" i="8"/>
  <c r="B10" i="8" s="1"/>
  <c r="C27" i="8"/>
  <c r="E10" i="8"/>
  <c r="E28" i="3"/>
  <c r="E27" i="3" s="1"/>
  <c r="D27" i="3"/>
  <c r="F25" i="3"/>
  <c r="F21" i="3" s="1"/>
  <c r="G21" i="3" s="1"/>
  <c r="H21" i="3" s="1"/>
  <c r="E22" i="3"/>
  <c r="E25" i="3"/>
  <c r="D22" i="3"/>
  <c r="D25" i="3"/>
  <c r="F19" i="3"/>
  <c r="F18" i="3" s="1"/>
  <c r="G18" i="3" s="1"/>
  <c r="H18" i="3" s="1"/>
  <c r="E19" i="3"/>
  <c r="E18" i="3" s="1"/>
  <c r="D19" i="3"/>
  <c r="D18" i="3" s="1"/>
  <c r="F15" i="3"/>
  <c r="F11" i="3" s="1"/>
  <c r="G11" i="3" s="1"/>
  <c r="H11" i="3" s="1"/>
  <c r="E11" i="3"/>
  <c r="D12" i="3"/>
  <c r="D15" i="3"/>
  <c r="C26" i="8" l="1"/>
  <c r="E21" i="3"/>
  <c r="E10" i="3" s="1"/>
  <c r="E9" i="3" s="1"/>
  <c r="D11" i="3"/>
  <c r="D21" i="3"/>
  <c r="F11" i="5"/>
  <c r="F10" i="5" s="1"/>
  <c r="E33" i="8"/>
  <c r="E26" i="8" s="1"/>
  <c r="F26" i="8"/>
  <c r="F28" i="3"/>
  <c r="F27" i="3" s="1"/>
  <c r="F10" i="3" l="1"/>
  <c r="F9" i="3" s="1"/>
  <c r="F10" i="8"/>
  <c r="D10" i="3"/>
  <c r="D9" i="3" s="1"/>
  <c r="E11" i="5"/>
  <c r="E10" i="5" s="1"/>
  <c r="B33" i="8"/>
  <c r="B26" i="8" s="1"/>
  <c r="H10" i="3" l="1"/>
  <c r="H9" i="3" s="1"/>
  <c r="G10" i="3"/>
  <c r="G9" i="3" s="1"/>
  <c r="D11" i="5"/>
  <c r="D10" i="5" s="1"/>
  <c r="C12" i="5"/>
  <c r="C11" i="5" s="1"/>
  <c r="C10" i="5" s="1"/>
  <c r="B12" i="5"/>
  <c r="B11" i="5" s="1"/>
  <c r="B10" i="5" s="1"/>
  <c r="D27" i="8"/>
  <c r="D26" i="8" s="1"/>
  <c r="D13" i="8"/>
  <c r="D11" i="8"/>
  <c r="C17" i="8"/>
  <c r="C13" i="8"/>
  <c r="C11" i="8"/>
  <c r="D10" i="8" l="1"/>
  <c r="H34" i="10" l="1"/>
  <c r="I34" i="10" s="1"/>
  <c r="J34" i="10" s="1"/>
  <c r="J37" i="10" s="1"/>
  <c r="J21" i="10"/>
  <c r="I21" i="10"/>
  <c r="H21" i="10"/>
  <c r="G21" i="10"/>
  <c r="J11" i="10"/>
  <c r="I11" i="10"/>
  <c r="H11" i="10"/>
  <c r="G11" i="10"/>
  <c r="G14" i="10" s="1"/>
  <c r="F11" i="10"/>
  <c r="J8" i="10"/>
  <c r="I8" i="10"/>
  <c r="F8" i="10"/>
  <c r="F14" i="10" l="1"/>
  <c r="I14" i="10"/>
  <c r="I22" i="10" s="1"/>
  <c r="I28" i="10" s="1"/>
  <c r="I29" i="10" s="1"/>
  <c r="H14" i="10"/>
  <c r="H22" i="10" s="1"/>
  <c r="J14" i="10"/>
  <c r="J22" i="10" s="1"/>
  <c r="J28" i="10" s="1"/>
  <c r="J29" i="10" s="1"/>
  <c r="G22" i="10"/>
</calcChain>
</file>

<file path=xl/sharedStrings.xml><?xml version="1.0" encoding="utf-8"?>
<sst xmlns="http://schemas.openxmlformats.org/spreadsheetml/2006/main" count="416" uniqueCount="185">
  <si>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</si>
  <si>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</si>
  <si>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</si>
  <si>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</si>
  <si>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</si>
  <si>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</si>
  <si>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</si>
  <si>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</si>
  <si>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</si>
  <si>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</si>
  <si>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</si>
  <si>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PREMA FUNKCIJSKOJ KLASIFIKACIJI</t>
  </si>
  <si>
    <t>UKUPNI RASHODI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</si>
  <si>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</si>
  <si>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</si>
  <si>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</si>
  <si>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</si>
  <si>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</si>
  <si>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</si>
  <si>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</si>
  <si>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</si>
  <si>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</si>
  <si>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</si>
  <si>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</si>
  <si>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</si>
  <si>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</si>
  <si>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</si>
  <si>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</si>
  <si>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Naziv</t>
  </si>
  <si>
    <t>Projekcija 
za 2026.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</si>
  <si>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</si>
  <si>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</si>
  <si>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</si>
  <si>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</si>
  <si>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</si>
  <si>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</si>
  <si>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</si>
  <si>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</si>
  <si>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</si>
  <si>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</si>
  <si>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</si>
  <si>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</si>
  <si>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</si>
  <si>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</si>
  <si>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</si>
  <si>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</si>
  <si>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</si>
  <si>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</si>
  <si>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</si>
  <si>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</si>
  <si>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</si>
  <si>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</si>
  <si>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</si>
  <si>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</si>
  <si>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</si>
  <si>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</si>
  <si>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</si>
  <si>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</si>
  <si>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</si>
  <si>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</si>
  <si>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</si>
  <si>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</si>
  <si>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</si>
  <si>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</si>
  <si>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</si>
  <si>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Financijski rashodi</t>
  </si>
  <si>
    <t>Plaće (Bruto)</t>
  </si>
  <si>
    <t>Plaće za redovan rad</t>
  </si>
  <si>
    <t>Plaće za prekovremeni rad</t>
  </si>
  <si>
    <t>Plaće za posebne uvjete rada</t>
  </si>
  <si>
    <t>Ostali rashodi za zaposlene</t>
  </si>
  <si>
    <t>Doprinosi na plaće</t>
  </si>
  <si>
    <t>Doprinos za obvezno ZO</t>
  </si>
  <si>
    <t>Opći prihodi i primici</t>
  </si>
  <si>
    <t>Naknade troškova zaposlen.</t>
  </si>
  <si>
    <t>Naknada za prij.na posao</t>
  </si>
  <si>
    <t>Vlastiti prihodi</t>
  </si>
  <si>
    <t>Materijal i sirovine</t>
  </si>
  <si>
    <t>Sitni inventar i autogume</t>
  </si>
  <si>
    <t>Rashodi za usluge</t>
  </si>
  <si>
    <t>Komunalne usluge</t>
  </si>
  <si>
    <t>Ostale usluge</t>
  </si>
  <si>
    <t>Zatezne kamate</t>
  </si>
  <si>
    <t>Naknade građanima i kućanstvima</t>
  </si>
  <si>
    <t>Knjige</t>
  </si>
  <si>
    <t>Službena putovanja</t>
  </si>
  <si>
    <t>Postrojenje i oprema</t>
  </si>
  <si>
    <t>Uredska oprema i namještaj</t>
  </si>
  <si>
    <t>Pomoći EU</t>
  </si>
  <si>
    <t>Stručno usavršavanje zapos.</t>
  </si>
  <si>
    <t>Energija</t>
  </si>
  <si>
    <t>Intelektualne i osobne usluge</t>
  </si>
  <si>
    <t>Računalne usluge</t>
  </si>
  <si>
    <t>Članarine</t>
  </si>
  <si>
    <t>Pristojbe i naknade</t>
  </si>
  <si>
    <t>Donacije</t>
  </si>
  <si>
    <t>Ostali financijski rashodi</t>
  </si>
  <si>
    <t>Naknade građanima i kućanstvima na temelju osiguranja
i druge naknade</t>
  </si>
  <si>
    <t xml:space="preserve">  51 Pomoći EU</t>
  </si>
  <si>
    <t>31 Vlastiti i ostali prihodi</t>
  </si>
  <si>
    <t>3 Vlastiti i ostali prihodi</t>
  </si>
  <si>
    <t>09 Obrazovanje</t>
  </si>
  <si>
    <t>091 Predškolsko i osnovno obrazovanje</t>
  </si>
  <si>
    <t>09912 Osnovno obrazovanje</t>
  </si>
  <si>
    <t>096 Dodatne usluge u obrazovanju</t>
  </si>
  <si>
    <t>PROGRAM 1013</t>
  </si>
  <si>
    <t>ŠKOLSTVO</t>
  </si>
  <si>
    <t>Izvor financiranja 11</t>
  </si>
  <si>
    <t>Ostali nespomenuti rashodi posl.</t>
  </si>
  <si>
    <t>Izvor financiranja 31</t>
  </si>
  <si>
    <t>Rashodi za materijal i energiju</t>
  </si>
  <si>
    <t>Uredski materijal i ostali mater.ras.</t>
  </si>
  <si>
    <t>Materijal i dijelovi za tekuće i in.od.</t>
  </si>
  <si>
    <t>Rashodi za nabavu proizv.n.im.</t>
  </si>
  <si>
    <t>Izvor financiranja 51</t>
  </si>
  <si>
    <t>Izvor financiranja 52</t>
  </si>
  <si>
    <t>Zdravstvene i veterinarske usluge</t>
  </si>
  <si>
    <t>Ostale pristojbe i naknade</t>
  </si>
  <si>
    <t>Naknade građanima i kuć.</t>
  </si>
  <si>
    <t>Ostale naknade kuć.i građanima</t>
  </si>
  <si>
    <t>Knjige,umjetnička dijela</t>
  </si>
  <si>
    <t>Izvor financiranja 43</t>
  </si>
  <si>
    <t>Ostali prihodi za posebne namjene</t>
  </si>
  <si>
    <t>Sužbena,radna i zašt.odjeća i obuća</t>
  </si>
  <si>
    <t>Usluge telefona, pošte i prijevoza</t>
  </si>
  <si>
    <t>Stručno usavrš.zaposlenika</t>
  </si>
  <si>
    <t>Bankarske usluge i usluge pl.pr.</t>
  </si>
  <si>
    <t>Izvor financiranja 61</t>
  </si>
  <si>
    <t>Aktivnost A101314 ostali izd. za osn. škole (izv. fin. vl. i ost. prihodi)</t>
  </si>
  <si>
    <t>Ostale nak.trošk.zaposlenika</t>
  </si>
  <si>
    <t>Ostali nespomenuti prihodi</t>
  </si>
  <si>
    <t>Tekuće donacije</t>
  </si>
  <si>
    <t>61 Donacije</t>
  </si>
  <si>
    <t>6 Donacije</t>
  </si>
  <si>
    <t>Izvršenje 2023.</t>
  </si>
  <si>
    <t>Plan 2024.</t>
  </si>
  <si>
    <t>Plan za 2025.</t>
  </si>
  <si>
    <t>Projekcija 
za 2027.</t>
  </si>
  <si>
    <t>Prihodi od imovine</t>
  </si>
  <si>
    <t>Tekući plan 2024.</t>
  </si>
  <si>
    <t>Plan 2025.</t>
  </si>
  <si>
    <t>Projekcija 2026.</t>
  </si>
  <si>
    <t>Projekcija 2027.</t>
  </si>
  <si>
    <t>Ostale pomoći i darovnice</t>
  </si>
  <si>
    <t>OSNOVNA ŠKOLA SELNICA</t>
  </si>
  <si>
    <t>Rashodi za nabavu nefinancijske imovine</t>
  </si>
  <si>
    <t>Proračun za 2025.</t>
  </si>
  <si>
    <t>Projekcija proračuna
za 2027.</t>
  </si>
  <si>
    <t>FINANCIJSKI PLAN PRORAČUNSKOG KORISNIKA JEDINICE LOKALNE I PODRUČNE (REGIONALNE) SAMOUPRAVE 
ZA 2025. I PROJEKCIJA ZA 2026. I 2027. GODINU</t>
  </si>
  <si>
    <t>Prihodi od upravnih i administrativnih pristojbi, pristojbi po posebnim propisima i naknada</t>
  </si>
  <si>
    <t>Prihodi od prodaje proizvoda i robe te pruženih usluga i prihodi od donacija</t>
  </si>
  <si>
    <t>Prihodi iz nadležnog proračuna za fina. rash. poslov.</t>
  </si>
  <si>
    <t>Prihodi iz nadležnog proračuna za fina. rash.za nab. nefinanc. imovine</t>
  </si>
  <si>
    <t>Dodatna ulaganja na građevinskim objektima</t>
  </si>
  <si>
    <t>Rashodi za dodatna ulaganja na nefinancijskoj imovini</t>
  </si>
  <si>
    <t>Donacije od pravnih i fizičkih osoba općeg proračuna</t>
  </si>
  <si>
    <t>Usluge tekućeg i inv. odr.</t>
  </si>
  <si>
    <t>Naknade za rad pred. tijela., povjer.</t>
  </si>
  <si>
    <t>Pomoći pror. korisnicima iz proračuna koji im nije nadležan</t>
  </si>
  <si>
    <t>Tekuće pomoći proračunskim korisnicima</t>
  </si>
  <si>
    <t>Kapitalne pomoći proračunskim korisnicima</t>
  </si>
  <si>
    <t>Pomoći temeljem prijenosa EU sredstava</t>
  </si>
  <si>
    <t>Tekuće pomoći temeljem prijenosa EU sredstava</t>
  </si>
  <si>
    <t>Prihodi po posebnim propisima</t>
  </si>
  <si>
    <t>Prihodi od prodaje proizvoda te pruženih usluga</t>
  </si>
  <si>
    <t>Prihodi od prodanih proizvoda</t>
  </si>
  <si>
    <t>Prihodi od pruženih usluga</t>
  </si>
  <si>
    <t xml:space="preserve">Prihodi iz nadležnog proračuna za financ. red. dj. pr. korisnika
</t>
  </si>
  <si>
    <t>Ostale naknade troškova zaposlenima</t>
  </si>
  <si>
    <t>Uredski materijal i ostali materijalni rashodi</t>
  </si>
  <si>
    <t>Materijal i dijelovi za tekuće i investicijsko održavanje</t>
  </si>
  <si>
    <t>Usluge tekućeg i investicijskog održavanja</t>
  </si>
  <si>
    <t>Ostali nespomenuti rashodi poslovanja</t>
  </si>
  <si>
    <t>Naknade za rad predstavničkih tijela, povjerenstava i slično</t>
  </si>
  <si>
    <t>Bankarske usluge i usluge platnog prometa</t>
  </si>
  <si>
    <t>Ostale tekuće donacije u naravi</t>
  </si>
  <si>
    <t>Uređaji, strojevi i oprema</t>
  </si>
  <si>
    <t>Knjige, umjetnička djela i ostale izložb. vrijednosti</t>
  </si>
  <si>
    <t>Rashodi za nabavu proizvedene dugotrajne imovine</t>
  </si>
  <si>
    <t xml:space="preserve">Ostale naknade građanima i kućanstvima iz proračuna
</t>
  </si>
  <si>
    <t>Službena, radna i zaštitna  odjeća i obuća</t>
  </si>
  <si>
    <t>Aktivnost T100115 - Projekt "Školska shema"</t>
  </si>
  <si>
    <t>Aktivnost T100117 - Projekt "Škole jednakih mogućnosti"</t>
  </si>
  <si>
    <t>Aktivnost A101301- Osnovno školstvo DEC</t>
  </si>
  <si>
    <t>Aktivnost A101319 - Projekt "Asistenti u nastavi"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</si>
</sst>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64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0" xfId="0" quotePrefix="1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quotePrefix="1" applyFont="1" applyFill="1" applyBorder="1" applyAlignment="1">
      <alignment horizontal="left" vertical="top" wrapText="1"/>
    </xf>
    <xf numFmtId="3" fontId="19" fillId="2" borderId="3" xfId="0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left" vertical="center" wrapText="1"/>
    </xf>
    <xf numFmtId="0" fontId="9" fillId="2" borderId="10" xfId="0" applyNumberFormat="1" applyFont="1" applyFill="1" applyBorder="1" applyAlignment="1" applyProtection="1">
      <alignment horizontal="left" vertical="center" wrapText="1"/>
    </xf>
    <xf numFmtId="3" fontId="19" fillId="2" borderId="11" xfId="0" applyNumberFormat="1" applyFont="1" applyFill="1" applyBorder="1" applyAlignment="1">
      <alignment horizontal="right"/>
    </xf>
    <xf numFmtId="0" fontId="7" fillId="2" borderId="10" xfId="0" quotePrefix="1" applyFont="1" applyFill="1" applyBorder="1" applyAlignment="1">
      <alignment horizontal="left" vertical="center"/>
    </xf>
    <xf numFmtId="0" fontId="21" fillId="2" borderId="10" xfId="0" applyFont="1" applyFill="1" applyBorder="1"/>
    <xf numFmtId="0" fontId="21" fillId="2" borderId="3" xfId="0" applyFont="1" applyFill="1" applyBorder="1" applyAlignment="1">
      <alignment wrapText="1"/>
    </xf>
    <xf numFmtId="0" fontId="7" fillId="2" borderId="3" xfId="0" quotePrefix="1" applyFont="1" applyFill="1" applyBorder="1" applyAlignment="1">
      <alignment horizontal="left" vertical="top" wrapText="1"/>
    </xf>
    <xf numFmtId="0" fontId="22" fillId="0" borderId="0" xfId="0" applyFont="1"/>
    <xf numFmtId="3" fontId="23" fillId="0" borderId="0" xfId="0" applyNumberFormat="1" applyFont="1"/>
    <xf numFmtId="3" fontId="19" fillId="2" borderId="11" xfId="0" applyNumberFormat="1" applyFont="1" applyFill="1" applyBorder="1" applyAlignment="1" applyProtection="1">
      <alignment horizontal="right" wrapText="1"/>
    </xf>
    <xf numFmtId="0" fontId="20" fillId="2" borderId="3" xfId="0" quotePrefix="1" applyFont="1" applyFill="1" applyBorder="1" applyAlignment="1">
      <alignment horizontal="left" vertical="center"/>
    </xf>
    <xf numFmtId="3" fontId="0" fillId="0" borderId="0" xfId="0" applyNumberFormat="1"/>
    <xf numFmtId="4" fontId="22" fillId="0" borderId="0" xfId="0" applyNumberFormat="1" applyFont="1"/>
    <xf numFmtId="4" fontId="0" fillId="0" borderId="0" xfId="0" applyNumberFormat="1"/>
    <xf numFmtId="3" fontId="2" fillId="0" borderId="0" xfId="0" applyNumberFormat="1" applyFont="1" applyFill="1" applyBorder="1" applyAlignment="1" applyProtection="1">
      <alignment horizontal="center" vertical="center" wrapText="1"/>
    </xf>
    <xf numFmtId="3" fontId="26" fillId="3" borderId="1" xfId="0" quotePrefix="1" applyNumberFormat="1" applyFont="1" applyFill="1" applyBorder="1" applyAlignment="1">
      <alignment horizontal="right"/>
    </xf>
    <xf numFmtId="4" fontId="7" fillId="2" borderId="4" xfId="0" applyNumberFormat="1" applyFont="1" applyFill="1" applyBorder="1" applyAlignment="1">
      <alignment horizontal="right"/>
    </xf>
    <xf numFmtId="4" fontId="9" fillId="0" borderId="4" xfId="0" applyNumberFormat="1" applyFont="1" applyFill="1" applyBorder="1" applyAlignment="1" applyProtection="1">
      <alignment horizontal="right" vertical="center" wrapText="1"/>
    </xf>
    <xf numFmtId="4" fontId="9" fillId="2" borderId="4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0" fontId="29" fillId="0" borderId="0" xfId="0" applyFont="1"/>
    <xf numFmtId="4" fontId="7" fillId="0" borderId="3" xfId="0" applyNumberFormat="1" applyFont="1" applyFill="1" applyBorder="1" applyAlignment="1" applyProtection="1">
      <alignment vertical="center" wrapText="1"/>
    </xf>
    <xf numFmtId="4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4" fontId="2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Font="1"/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8" fillId="2" borderId="10" xfId="0" quotePrefix="1" applyFont="1" applyFill="1" applyBorder="1" applyAlignment="1">
      <alignment horizontal="left" vertical="center"/>
    </xf>
    <xf numFmtId="3" fontId="30" fillId="2" borderId="3" xfId="0" applyNumberFormat="1" applyFont="1" applyFill="1" applyBorder="1" applyAlignment="1">
      <alignment horizontal="right"/>
    </xf>
    <xf numFmtId="3" fontId="30" fillId="2" borderId="11" xfId="0" applyNumberFormat="1" applyFont="1" applyFill="1" applyBorder="1" applyAlignment="1">
      <alignment horizontal="right"/>
    </xf>
    <xf numFmtId="4" fontId="8" fillId="2" borderId="3" xfId="0" applyNumberFormat="1" applyFont="1" applyFill="1" applyBorder="1" applyAlignment="1">
      <alignment horizontal="right"/>
    </xf>
    <xf numFmtId="4" fontId="30" fillId="2" borderId="3" xfId="0" applyNumberFormat="1" applyFont="1" applyFill="1" applyBorder="1" applyAlignment="1">
      <alignment horizontal="right"/>
    </xf>
    <xf numFmtId="4" fontId="30" fillId="2" borderId="11" xfId="0" applyNumberFormat="1" applyFont="1" applyFill="1" applyBorder="1" applyAlignment="1">
      <alignment horizontal="right"/>
    </xf>
    <xf numFmtId="4" fontId="31" fillId="2" borderId="3" xfId="0" applyNumberFormat="1" applyFont="1" applyFill="1" applyBorder="1" applyAlignment="1">
      <alignment horizontal="right"/>
    </xf>
    <xf numFmtId="4" fontId="31" fillId="2" borderId="11" xfId="0" applyNumberFormat="1" applyFont="1" applyFill="1" applyBorder="1" applyAlignment="1">
      <alignment horizontal="right"/>
    </xf>
    <xf numFmtId="0" fontId="20" fillId="2" borderId="10" xfId="0" applyNumberFormat="1" applyFont="1" applyFill="1" applyBorder="1" applyAlignment="1" applyProtection="1">
      <alignment horizontal="left" vertical="center" wrapText="1"/>
    </xf>
    <xf numFmtId="0" fontId="31" fillId="2" borderId="10" xfId="0" applyFont="1" applyFill="1" applyBorder="1"/>
    <xf numFmtId="0" fontId="31" fillId="2" borderId="3" xfId="0" applyFont="1" applyFill="1" applyBorder="1"/>
    <xf numFmtId="0" fontId="31" fillId="2" borderId="3" xfId="0" applyFont="1" applyFill="1" applyBorder="1" applyAlignment="1">
      <alignment wrapText="1"/>
    </xf>
    <xf numFmtId="4" fontId="7" fillId="2" borderId="3" xfId="0" applyNumberFormat="1" applyFont="1" applyFill="1" applyBorder="1"/>
    <xf numFmtId="4" fontId="21" fillId="2" borderId="3" xfId="0" applyNumberFormat="1" applyFont="1" applyFill="1" applyBorder="1"/>
    <xf numFmtId="4" fontId="21" fillId="2" borderId="11" xfId="0" applyNumberFormat="1" applyFont="1" applyFill="1" applyBorder="1"/>
    <xf numFmtId="4" fontId="8" fillId="2" borderId="3" xfId="0" applyNumberFormat="1" applyFont="1" applyFill="1" applyBorder="1"/>
    <xf numFmtId="4" fontId="30" fillId="2" borderId="3" xfId="0" applyNumberFormat="1" applyFont="1" applyFill="1" applyBorder="1"/>
    <xf numFmtId="4" fontId="31" fillId="2" borderId="3" xfId="0" applyNumberFormat="1" applyFont="1" applyFill="1" applyBorder="1"/>
    <xf numFmtId="4" fontId="31" fillId="2" borderId="11" xfId="0" applyNumberFormat="1" applyFont="1" applyFill="1" applyBorder="1"/>
    <xf numFmtId="4" fontId="30" fillId="2" borderId="11" xfId="0" applyNumberFormat="1" applyFont="1" applyFill="1" applyBorder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4" fontId="7" fillId="2" borderId="3" xfId="0" applyNumberFormat="1" applyFont="1" applyFill="1" applyBorder="1" applyAlignment="1">
      <alignment horizontal="right"/>
    </xf>
    <xf numFmtId="4" fontId="7" fillId="0" borderId="3" xfId="0" applyNumberFormat="1" applyFont="1" applyFill="1" applyBorder="1" applyAlignment="1">
      <alignment horizontal="right"/>
    </xf>
    <xf numFmtId="4" fontId="0" fillId="0" borderId="0" xfId="0" applyNumberFormat="1" applyFill="1"/>
    <xf numFmtId="0" fontId="7" fillId="2" borderId="3" xfId="0" applyNumberFormat="1" applyFont="1" applyFill="1" applyBorder="1" applyAlignment="1" applyProtection="1">
      <alignment horizontal="left" vertical="top" wrapText="1"/>
    </xf>
    <xf numFmtId="4" fontId="6" fillId="2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8" fillId="2" borderId="11" xfId="0" applyNumberFormat="1" applyFont="1" applyFill="1" applyBorder="1" applyAlignment="1">
      <alignment horizontal="right"/>
    </xf>
    <xf numFmtId="3" fontId="8" fillId="2" borderId="11" xfId="0" applyNumberFormat="1" applyFont="1" applyFill="1" applyBorder="1" applyAlignment="1">
      <alignment horizontal="right"/>
    </xf>
    <xf numFmtId="4" fontId="9" fillId="3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>
      <alignment horizontal="right"/>
    </xf>
    <xf numFmtId="4" fontId="9" fillId="0" borderId="3" xfId="0" applyNumberFormat="1" applyFont="1" applyBorder="1" applyAlignment="1">
      <alignment horizontal="right"/>
    </xf>
    <xf numFmtId="3" fontId="9" fillId="3" borderId="3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Fill="1" applyBorder="1" applyAlignment="1" applyProtection="1">
      <alignment horizontal="right" vertical="center" wrapText="1"/>
    </xf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4" fontId="19" fillId="0" borderId="0" xfId="0" applyNumberFormat="1" applyFont="1" applyFill="1" applyBorder="1" applyAlignment="1" applyProtection="1">
      <alignment vertical="center" wrapText="1"/>
    </xf>
    <xf numFmtId="0" fontId="32" fillId="0" borderId="0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2" borderId="3" xfId="0" quotePrefix="1" applyFont="1" applyFill="1" applyBorder="1" applyAlignment="1">
      <alignment horizontal="center" vertical="center"/>
    </xf>
    <xf numFmtId="4" fontId="0" fillId="0" borderId="0" xfId="0" applyNumberFormat="1" applyFont="1"/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/>
    <xf numFmtId="4" fontId="0" fillId="0" borderId="0" xfId="0" applyNumberFormat="1" applyFont="1" applyBorder="1"/>
    <xf numFmtId="3" fontId="30" fillId="2" borderId="11" xfId="0" applyNumberFormat="1" applyFont="1" applyFill="1" applyBorder="1" applyAlignment="1" applyProtection="1">
      <alignment horizontal="right" wrapText="1"/>
    </xf>
    <xf numFmtId="0" fontId="8" fillId="2" borderId="3" xfId="0" quotePrefix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right"/>
    </xf>
    <xf numFmtId="3" fontId="30" fillId="2" borderId="13" xfId="0" applyNumberFormat="1" applyFont="1" applyFill="1" applyBorder="1" applyAlignment="1">
      <alignment horizontal="right"/>
    </xf>
    <xf numFmtId="3" fontId="30" fillId="2" borderId="14" xfId="0" applyNumberFormat="1" applyFont="1" applyFill="1" applyBorder="1" applyAlignment="1" applyProtection="1">
      <alignment horizontal="right" wrapText="1"/>
    </xf>
    <xf numFmtId="4" fontId="17" fillId="0" borderId="0" xfId="0" applyNumberFormat="1" applyFont="1" applyFill="1" applyBorder="1" applyAlignment="1" applyProtection="1">
      <alignment horizontal="center" vertical="center" wrapText="1"/>
    </xf>
    <xf numFmtId="4" fontId="8" fillId="2" borderId="13" xfId="0" applyNumberFormat="1" applyFont="1" applyFill="1" applyBorder="1" applyAlignment="1">
      <alignment horizontal="right"/>
    </xf>
    <xf numFmtId="3" fontId="21" fillId="2" borderId="3" xfId="0" applyNumberFormat="1" applyFont="1" applyFill="1" applyBorder="1" applyAlignment="1">
      <alignment horizontal="right"/>
    </xf>
    <xf numFmtId="3" fontId="21" fillId="2" borderId="11" xfId="0" applyNumberFormat="1" applyFont="1" applyFill="1" applyBorder="1" applyAlignment="1">
      <alignment horizontal="right" wrapText="1"/>
    </xf>
    <xf numFmtId="3" fontId="19" fillId="2" borderId="11" xfId="0" applyNumberFormat="1" applyFont="1" applyFill="1" applyBorder="1" applyAlignment="1">
      <alignment horizontal="right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9" fillId="4" borderId="4" xfId="0" applyNumberFormat="1" applyFont="1" applyFill="1" applyBorder="1" applyAlignment="1" applyProtection="1">
      <alignment horizontal="center" vertical="center" wrapText="1"/>
    </xf>
    <xf numFmtId="4" fontId="33" fillId="0" borderId="3" xfId="0" applyNumberFormat="1" applyFont="1" applyBorder="1"/>
    <xf numFmtId="4" fontId="34" fillId="0" borderId="3" xfId="0" applyNumberFormat="1" applyFont="1" applyBorder="1"/>
    <xf numFmtId="4" fontId="34" fillId="2" borderId="3" xfId="0" applyNumberFormat="1" applyFont="1" applyFill="1" applyBorder="1"/>
    <xf numFmtId="0" fontId="9" fillId="4" borderId="3" xfId="0" applyNumberFormat="1" applyFont="1" applyFill="1" applyBorder="1" applyAlignment="1" applyProtection="1">
      <alignment horizontal="center" vertical="center" wrapText="1"/>
    </xf>
    <xf numFmtId="4" fontId="34" fillId="0" borderId="3" xfId="0" applyNumberFormat="1" applyFont="1" applyFill="1" applyBorder="1"/>
    <xf numFmtId="4" fontId="6" fillId="0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9" fillId="4" borderId="1" xfId="0" quotePrefix="1" applyNumberFormat="1" applyFont="1" applyFill="1" applyBorder="1" applyAlignment="1">
      <alignment horizontal="right"/>
    </xf>
    <xf numFmtId="4" fontId="9" fillId="3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 applyProtection="1">
      <alignment horizontal="right" wrapText="1"/>
    </xf>
    <xf numFmtId="4" fontId="9" fillId="3" borderId="3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0" fontId="9" fillId="6" borderId="3" xfId="0" applyNumberFormat="1" applyFont="1" applyFill="1" applyBorder="1" applyAlignment="1" applyProtection="1">
      <alignment horizontal="center" vertical="center" wrapText="1"/>
    </xf>
    <xf numFmtId="0" fontId="9" fillId="6" borderId="3" xfId="0" applyNumberFormat="1" applyFont="1" applyFill="1" applyBorder="1" applyAlignment="1" applyProtection="1">
      <alignment vertical="center" wrapText="1"/>
    </xf>
    <xf numFmtId="4" fontId="9" fillId="6" borderId="3" xfId="0" applyNumberFormat="1" applyFont="1" applyFill="1" applyBorder="1" applyAlignment="1">
      <alignment vertical="center"/>
    </xf>
    <xf numFmtId="4" fontId="6" fillId="6" borderId="3" xfId="0" applyNumberFormat="1" applyFont="1" applyFill="1" applyBorder="1" applyAlignment="1">
      <alignment vertical="center"/>
    </xf>
    <xf numFmtId="0" fontId="9" fillId="6" borderId="3" xfId="0" quotePrefix="1" applyFont="1" applyFill="1" applyBorder="1" applyAlignment="1">
      <alignment horizontal="center" vertical="center"/>
    </xf>
    <xf numFmtId="0" fontId="20" fillId="6" borderId="3" xfId="0" quotePrefix="1" applyFont="1" applyFill="1" applyBorder="1" applyAlignment="1">
      <alignment horizontal="left" vertical="center" wrapText="1"/>
    </xf>
    <xf numFmtId="4" fontId="9" fillId="6" borderId="3" xfId="0" applyNumberFormat="1" applyFont="1" applyFill="1" applyBorder="1" applyAlignment="1">
      <alignment horizontal="right"/>
    </xf>
    <xf numFmtId="4" fontId="3" fillId="6" borderId="3" xfId="0" applyNumberFormat="1" applyFont="1" applyFill="1" applyBorder="1" applyAlignment="1">
      <alignment horizontal="right"/>
    </xf>
    <xf numFmtId="4" fontId="7" fillId="6" borderId="3" xfId="0" applyNumberFormat="1" applyFont="1" applyFill="1" applyBorder="1" applyAlignment="1">
      <alignment horizontal="right"/>
    </xf>
    <xf numFmtId="4" fontId="19" fillId="6" borderId="3" xfId="0" applyNumberFormat="1" applyFont="1" applyFill="1" applyBorder="1" applyAlignment="1">
      <alignment horizontal="right"/>
    </xf>
    <xf numFmtId="0" fontId="20" fillId="6" borderId="3" xfId="0" quotePrefix="1" applyFont="1" applyFill="1" applyBorder="1" applyAlignment="1">
      <alignment vertical="center" wrapText="1"/>
    </xf>
    <xf numFmtId="0" fontId="6" fillId="6" borderId="3" xfId="0" applyNumberFormat="1" applyFont="1" applyFill="1" applyBorder="1" applyAlignment="1" applyProtection="1">
      <alignment horizontal="center" vertical="center" wrapText="1"/>
    </xf>
    <xf numFmtId="4" fontId="9" fillId="6" borderId="3" xfId="0" applyNumberFormat="1" applyFont="1" applyFill="1" applyBorder="1" applyAlignment="1" applyProtection="1">
      <alignment horizontal="right" vertical="center" wrapText="1"/>
    </xf>
    <xf numFmtId="4" fontId="6" fillId="6" borderId="3" xfId="0" applyNumberFormat="1" applyFont="1" applyFill="1" applyBorder="1" applyAlignment="1" applyProtection="1">
      <alignment horizontal="right" vertical="center" wrapText="1"/>
    </xf>
    <xf numFmtId="0" fontId="9" fillId="6" borderId="10" xfId="0" applyNumberFormat="1" applyFont="1" applyFill="1" applyBorder="1" applyAlignment="1" applyProtection="1">
      <alignment horizontal="left" vertical="center" wrapText="1"/>
    </xf>
    <xf numFmtId="0" fontId="9" fillId="6" borderId="10" xfId="0" quotePrefix="1" applyFont="1" applyFill="1" applyBorder="1" applyAlignment="1">
      <alignment horizontal="left" vertical="center"/>
    </xf>
    <xf numFmtId="0" fontId="9" fillId="6" borderId="3" xfId="0" quotePrefix="1" applyFont="1" applyFill="1" applyBorder="1" applyAlignment="1">
      <alignment horizontal="left" vertical="center"/>
    </xf>
    <xf numFmtId="0" fontId="9" fillId="6" borderId="3" xfId="0" quotePrefix="1" applyFont="1" applyFill="1" applyBorder="1" applyAlignment="1">
      <alignment horizontal="left" vertical="center" wrapText="1"/>
    </xf>
    <xf numFmtId="0" fontId="24" fillId="6" borderId="10" xfId="0" applyFont="1" applyFill="1" applyBorder="1"/>
    <xf numFmtId="0" fontId="24" fillId="6" borderId="3" xfId="0" applyFont="1" applyFill="1" applyBorder="1" applyAlignment="1">
      <alignment wrapText="1"/>
    </xf>
    <xf numFmtId="4" fontId="9" fillId="6" borderId="3" xfId="0" applyNumberFormat="1" applyFont="1" applyFill="1" applyBorder="1"/>
    <xf numFmtId="0" fontId="21" fillId="2" borderId="3" xfId="0" applyFont="1" applyFill="1" applyBorder="1" applyAlignment="1">
      <alignment horizontal="left"/>
    </xf>
    <xf numFmtId="0" fontId="31" fillId="2" borderId="3" xfId="0" applyFont="1" applyFill="1" applyBorder="1" applyAlignment="1">
      <alignment horizontal="left"/>
    </xf>
    <xf numFmtId="0" fontId="24" fillId="6" borderId="3" xfId="0" applyFont="1" applyFill="1" applyBorder="1" applyAlignment="1">
      <alignment horizontal="center"/>
    </xf>
    <xf numFmtId="4" fontId="24" fillId="6" borderId="3" xfId="0" applyNumberFormat="1" applyFont="1" applyFill="1" applyBorder="1" applyAlignment="1">
      <alignment horizontal="right"/>
    </xf>
    <xf numFmtId="4" fontId="21" fillId="2" borderId="3" xfId="0" applyNumberFormat="1" applyFont="1" applyFill="1" applyBorder="1" applyAlignment="1">
      <alignment horizontal="right"/>
    </xf>
    <xf numFmtId="0" fontId="21" fillId="6" borderId="3" xfId="0" applyFont="1" applyFill="1" applyBorder="1" applyAlignment="1">
      <alignment horizontal="left"/>
    </xf>
    <xf numFmtId="0" fontId="21" fillId="6" borderId="3" xfId="0" applyFont="1" applyFill="1" applyBorder="1" applyAlignment="1">
      <alignment wrapText="1"/>
    </xf>
    <xf numFmtId="4" fontId="7" fillId="6" borderId="3" xfId="0" applyNumberFormat="1" applyFont="1" applyFill="1" applyBorder="1"/>
    <xf numFmtId="4" fontId="9" fillId="6" borderId="11" xfId="0" applyNumberFormat="1" applyFont="1" applyFill="1" applyBorder="1"/>
    <xf numFmtId="0" fontId="21" fillId="6" borderId="10" xfId="0" applyFont="1" applyFill="1" applyBorder="1"/>
    <xf numFmtId="4" fontId="7" fillId="6" borderId="11" xfId="0" applyNumberFormat="1" applyFont="1" applyFill="1" applyBorder="1"/>
    <xf numFmtId="0" fontId="31" fillId="6" borderId="12" xfId="0" applyFont="1" applyFill="1" applyBorder="1"/>
    <xf numFmtId="0" fontId="31" fillId="6" borderId="13" xfId="0" applyFont="1" applyFill="1" applyBorder="1" applyAlignment="1">
      <alignment horizontal="left"/>
    </xf>
    <xf numFmtId="0" fontId="31" fillId="6" borderId="13" xfId="0" applyFont="1" applyFill="1" applyBorder="1" applyAlignment="1">
      <alignment horizontal="left" vertical="center" wrapText="1"/>
    </xf>
    <xf numFmtId="4" fontId="8" fillId="6" borderId="13" xfId="0" applyNumberFormat="1" applyFont="1" applyFill="1" applyBorder="1"/>
    <xf numFmtId="4" fontId="8" fillId="6" borderId="14" xfId="0" applyNumberFormat="1" applyFont="1" applyFill="1" applyBorder="1"/>
    <xf numFmtId="0" fontId="24" fillId="6" borderId="18" xfId="0" applyFont="1" applyFill="1" applyBorder="1"/>
    <xf numFmtId="0" fontId="24" fillId="6" borderId="6" xfId="0" applyFont="1" applyFill="1" applyBorder="1" applyAlignment="1">
      <alignment horizontal="center"/>
    </xf>
    <xf numFmtId="0" fontId="24" fillId="6" borderId="6" xfId="0" applyFont="1" applyFill="1" applyBorder="1" applyAlignment="1">
      <alignment wrapText="1"/>
    </xf>
    <xf numFmtId="4" fontId="9" fillId="6" borderId="6" xfId="0" applyNumberFormat="1" applyFont="1" applyFill="1" applyBorder="1"/>
    <xf numFmtId="4" fontId="9" fillId="6" borderId="20" xfId="0" applyNumberFormat="1" applyFont="1" applyFill="1" applyBorder="1"/>
    <xf numFmtId="0" fontId="9" fillId="6" borderId="21" xfId="0" quotePrefix="1" applyFont="1" applyFill="1" applyBorder="1" applyAlignment="1">
      <alignment horizontal="left" vertical="center"/>
    </xf>
    <xf numFmtId="0" fontId="9" fillId="6" borderId="22" xfId="0" quotePrefix="1" applyFont="1" applyFill="1" applyBorder="1" applyAlignment="1">
      <alignment horizontal="left" vertical="center"/>
    </xf>
    <xf numFmtId="0" fontId="9" fillId="6" borderId="22" xfId="0" quotePrefix="1" applyFont="1" applyFill="1" applyBorder="1" applyAlignment="1">
      <alignment horizontal="left" vertical="center" wrapText="1"/>
    </xf>
    <xf numFmtId="4" fontId="9" fillId="6" borderId="22" xfId="0" applyNumberFormat="1" applyFont="1" applyFill="1" applyBorder="1" applyAlignment="1">
      <alignment horizontal="right"/>
    </xf>
    <xf numFmtId="4" fontId="24" fillId="6" borderId="22" xfId="0" applyNumberFormat="1" applyFont="1" applyFill="1" applyBorder="1" applyAlignment="1">
      <alignment horizontal="right"/>
    </xf>
    <xf numFmtId="4" fontId="24" fillId="6" borderId="23" xfId="0" applyNumberFormat="1" applyFont="1" applyFill="1" applyBorder="1" applyAlignment="1">
      <alignment horizontal="right"/>
    </xf>
    <xf numFmtId="0" fontId="9" fillId="6" borderId="6" xfId="0" applyNumberFormat="1" applyFont="1" applyFill="1" applyBorder="1" applyAlignment="1" applyProtection="1">
      <alignment horizontal="left" vertical="center" wrapText="1"/>
    </xf>
    <xf numFmtId="0" fontId="9" fillId="6" borderId="6" xfId="0" applyNumberFormat="1" applyFont="1" applyFill="1" applyBorder="1" applyAlignment="1" applyProtection="1">
      <alignment horizontal="center" vertical="center" wrapText="1"/>
    </xf>
    <xf numFmtId="4" fontId="9" fillId="6" borderId="6" xfId="0" applyNumberFormat="1" applyFont="1" applyFill="1" applyBorder="1" applyAlignment="1">
      <alignment horizontal="right"/>
    </xf>
    <xf numFmtId="0" fontId="9" fillId="6" borderId="21" xfId="0" applyNumberFormat="1" applyFont="1" applyFill="1" applyBorder="1" applyAlignment="1" applyProtection="1">
      <alignment horizontal="center" vertical="center" wrapText="1"/>
    </xf>
    <xf numFmtId="0" fontId="9" fillId="6" borderId="22" xfId="0" applyNumberFormat="1" applyFont="1" applyFill="1" applyBorder="1" applyAlignment="1" applyProtection="1">
      <alignment horizontal="left" vertical="center" wrapText="1"/>
    </xf>
    <xf numFmtId="4" fontId="9" fillId="6" borderId="23" xfId="0" applyNumberFormat="1" applyFont="1" applyFill="1" applyBorder="1" applyAlignment="1">
      <alignment horizontal="right"/>
    </xf>
    <xf numFmtId="0" fontId="6" fillId="4" borderId="21" xfId="0" applyNumberFormat="1" applyFont="1" applyFill="1" applyBorder="1" applyAlignment="1" applyProtection="1">
      <alignment horizontal="center" vertical="center" wrapText="1"/>
    </xf>
    <xf numFmtId="0" fontId="6" fillId="4" borderId="22" xfId="0" applyNumberFormat="1" applyFont="1" applyFill="1" applyBorder="1" applyAlignment="1" applyProtection="1">
      <alignment horizontal="center" vertical="center" wrapText="1"/>
    </xf>
    <xf numFmtId="0" fontId="6" fillId="4" borderId="23" xfId="0" applyNumberFormat="1" applyFont="1" applyFill="1" applyBorder="1" applyAlignment="1" applyProtection="1">
      <alignment horizontal="center" vertical="center" wrapText="1"/>
    </xf>
    <xf numFmtId="0" fontId="6" fillId="6" borderId="21" xfId="0" applyNumberFormat="1" applyFont="1" applyFill="1" applyBorder="1" applyAlignment="1" applyProtection="1">
      <alignment horizontal="center" vertical="center" wrapText="1"/>
    </xf>
    <xf numFmtId="0" fontId="6" fillId="6" borderId="22" xfId="0" applyNumberFormat="1" applyFont="1" applyFill="1" applyBorder="1" applyAlignment="1" applyProtection="1">
      <alignment horizontal="center" vertical="center" wrapText="1"/>
    </xf>
    <xf numFmtId="0" fontId="6" fillId="6" borderId="22" xfId="0" applyNumberFormat="1" applyFont="1" applyFill="1" applyBorder="1" applyAlignment="1" applyProtection="1">
      <alignment horizontal="left" vertical="center" wrapText="1"/>
    </xf>
    <xf numFmtId="4" fontId="6" fillId="6" borderId="22" xfId="0" applyNumberFormat="1" applyFont="1" applyFill="1" applyBorder="1" applyAlignment="1" applyProtection="1">
      <alignment horizontal="right" vertical="center" wrapText="1"/>
    </xf>
    <xf numFmtId="4" fontId="6" fillId="6" borderId="23" xfId="0" applyNumberFormat="1" applyFont="1" applyFill="1" applyBorder="1" applyAlignment="1" applyProtection="1">
      <alignment horizontal="right" vertical="center" wrapText="1"/>
    </xf>
    <xf numFmtId="0" fontId="9" fillId="6" borderId="18" xfId="0" applyNumberFormat="1" applyFont="1" applyFill="1" applyBorder="1" applyAlignment="1" applyProtection="1">
      <alignment horizontal="left" vertical="center" wrapText="1"/>
    </xf>
    <xf numFmtId="4" fontId="9" fillId="6" borderId="20" xfId="0" applyNumberFormat="1" applyFont="1" applyFill="1" applyBorder="1" applyAlignment="1">
      <alignment horizontal="right"/>
    </xf>
    <xf numFmtId="4" fontId="7" fillId="2" borderId="11" xfId="0" applyNumberFormat="1" applyFont="1" applyFill="1" applyBorder="1" applyAlignment="1">
      <alignment horizontal="right"/>
    </xf>
    <xf numFmtId="4" fontId="9" fillId="6" borderId="11" xfId="0" applyNumberFormat="1" applyFont="1" applyFill="1" applyBorder="1" applyAlignment="1">
      <alignment horizontal="right"/>
    </xf>
    <xf numFmtId="4" fontId="24" fillId="6" borderId="11" xfId="0" applyNumberFormat="1" applyFont="1" applyFill="1" applyBorder="1" applyAlignment="1">
      <alignment horizontal="right"/>
    </xf>
    <xf numFmtId="4" fontId="21" fillId="2" borderId="11" xfId="0" applyNumberFormat="1" applyFont="1" applyFill="1" applyBorder="1" applyAlignment="1">
      <alignment horizontal="right"/>
    </xf>
    <xf numFmtId="0" fontId="8" fillId="2" borderId="12" xfId="0" quotePrefix="1" applyFont="1" applyFill="1" applyBorder="1" applyAlignment="1">
      <alignment horizontal="left" vertical="center"/>
    </xf>
    <xf numFmtId="0" fontId="8" fillId="2" borderId="13" xfId="0" quotePrefix="1" applyFont="1" applyFill="1" applyBorder="1" applyAlignment="1">
      <alignment horizontal="left" vertical="center"/>
    </xf>
    <xf numFmtId="0" fontId="8" fillId="2" borderId="13" xfId="0" quotePrefix="1" applyFont="1" applyFill="1" applyBorder="1" applyAlignment="1">
      <alignment horizontal="left" vertical="center" wrapText="1"/>
    </xf>
    <xf numFmtId="4" fontId="30" fillId="2" borderId="13" xfId="0" applyNumberFormat="1" applyFont="1" applyFill="1" applyBorder="1" applyAlignment="1">
      <alignment horizontal="right"/>
    </xf>
    <xf numFmtId="4" fontId="30" fillId="2" borderId="14" xfId="0" applyNumberFormat="1" applyFont="1" applyFill="1" applyBorder="1" applyAlignment="1">
      <alignment horizontal="right"/>
    </xf>
    <xf numFmtId="0" fontId="9" fillId="6" borderId="6" xfId="0" applyNumberFormat="1" applyFont="1" applyFill="1" applyBorder="1" applyAlignment="1" applyProtection="1">
      <alignment vertical="center" wrapText="1"/>
    </xf>
    <xf numFmtId="4" fontId="9" fillId="6" borderId="6" xfId="0" applyNumberFormat="1" applyFont="1" applyFill="1" applyBorder="1" applyAlignment="1">
      <alignment vertical="center"/>
    </xf>
    <xf numFmtId="4" fontId="6" fillId="6" borderId="6" xfId="0" applyNumberFormat="1" applyFont="1" applyFill="1" applyBorder="1" applyAlignment="1">
      <alignment vertical="center"/>
    </xf>
    <xf numFmtId="0" fontId="6" fillId="4" borderId="8" xfId="0" applyNumberFormat="1" applyFont="1" applyFill="1" applyBorder="1" applyAlignment="1" applyProtection="1">
      <alignment horizontal="center" vertical="center" wrapText="1"/>
    </xf>
    <xf numFmtId="0" fontId="6" fillId="4" borderId="19" xfId="0" applyNumberFormat="1" applyFont="1" applyFill="1" applyBorder="1" applyAlignment="1" applyProtection="1">
      <alignment horizontal="center" vertical="center" wrapText="1"/>
    </xf>
    <xf numFmtId="4" fontId="9" fillId="6" borderId="11" xfId="0" applyNumberFormat="1" applyFont="1" applyFill="1" applyBorder="1" applyAlignment="1" applyProtection="1">
      <alignment horizontal="right" vertical="center" wrapText="1"/>
    </xf>
    <xf numFmtId="0" fontId="9" fillId="6" borderId="12" xfId="0" applyNumberFormat="1" applyFont="1" applyFill="1" applyBorder="1" applyAlignment="1" applyProtection="1">
      <alignment horizontal="center" vertical="center" wrapText="1"/>
    </xf>
    <xf numFmtId="0" fontId="9" fillId="6" borderId="13" xfId="0" applyNumberFormat="1" applyFont="1" applyFill="1" applyBorder="1" applyAlignment="1" applyProtection="1">
      <alignment horizontal="left" vertical="center" wrapText="1"/>
    </xf>
    <xf numFmtId="4" fontId="9" fillId="6" borderId="13" xfId="0" applyNumberFormat="1" applyFont="1" applyFill="1" applyBorder="1" applyAlignment="1">
      <alignment horizontal="right"/>
    </xf>
    <xf numFmtId="4" fontId="6" fillId="6" borderId="13" xfId="0" applyNumberFormat="1" applyFont="1" applyFill="1" applyBorder="1" applyAlignment="1">
      <alignment horizontal="right"/>
    </xf>
    <xf numFmtId="4" fontId="9" fillId="6" borderId="14" xfId="0" applyNumberFormat="1" applyFont="1" applyFill="1" applyBorder="1" applyAlignment="1">
      <alignment horizontal="right"/>
    </xf>
    <xf numFmtId="0" fontId="6" fillId="4" borderId="24" xfId="0" applyNumberFormat="1" applyFont="1" applyFill="1" applyBorder="1" applyAlignment="1" applyProtection="1">
      <alignment horizontal="center" vertical="center" wrapText="1"/>
    </xf>
    <xf numFmtId="0" fontId="6" fillId="4" borderId="25" xfId="0" applyNumberFormat="1" applyFont="1" applyFill="1" applyBorder="1" applyAlignment="1" applyProtection="1">
      <alignment horizontal="center" vertical="center" wrapText="1"/>
    </xf>
    <xf numFmtId="0" fontId="6" fillId="4" borderId="26" xfId="0" applyNumberFormat="1" applyFont="1" applyFill="1" applyBorder="1" applyAlignment="1" applyProtection="1">
      <alignment horizontal="center" vertical="center" wrapText="1"/>
    </xf>
    <xf numFmtId="0" fontId="6" fillId="6" borderId="7" xfId="0" applyNumberFormat="1" applyFont="1" applyFill="1" applyBorder="1" applyAlignment="1" applyProtection="1">
      <alignment horizontal="center" vertical="center" wrapText="1"/>
    </xf>
    <xf numFmtId="0" fontId="6" fillId="6" borderId="8" xfId="0" applyNumberFormat="1" applyFont="1" applyFill="1" applyBorder="1" applyAlignment="1" applyProtection="1">
      <alignment horizontal="center" vertical="center" wrapText="1"/>
    </xf>
    <xf numFmtId="0" fontId="6" fillId="6" borderId="8" xfId="0" applyNumberFormat="1" applyFont="1" applyFill="1" applyBorder="1" applyAlignment="1" applyProtection="1">
      <alignment horizontal="left" vertical="center" wrapText="1"/>
    </xf>
    <xf numFmtId="4" fontId="9" fillId="6" borderId="8" xfId="0" applyNumberFormat="1" applyFont="1" applyFill="1" applyBorder="1" applyAlignment="1" applyProtection="1">
      <alignment horizontal="right" vertical="center" wrapText="1"/>
    </xf>
    <xf numFmtId="4" fontId="6" fillId="6" borderId="8" xfId="0" applyNumberFormat="1" applyFont="1" applyFill="1" applyBorder="1" applyAlignment="1" applyProtection="1">
      <alignment horizontal="right" vertical="center" wrapText="1"/>
    </xf>
    <xf numFmtId="4" fontId="9" fillId="6" borderId="19" xfId="0" applyNumberFormat="1" applyFont="1" applyFill="1" applyBorder="1" applyAlignment="1" applyProtection="1">
      <alignment horizontal="right" vertical="center" wrapText="1"/>
    </xf>
    <xf numFmtId="4" fontId="9" fillId="6" borderId="20" xfId="0" applyNumberFormat="1" applyFont="1" applyFill="1" applyBorder="1" applyAlignment="1">
      <alignment vertical="center"/>
    </xf>
    <xf numFmtId="4" fontId="19" fillId="6" borderId="11" xfId="0" applyNumberFormat="1" applyFont="1" applyFill="1" applyBorder="1" applyAlignment="1">
      <alignment horizontal="right"/>
    </xf>
    <xf numFmtId="0" fontId="7" fillId="6" borderId="10" xfId="0" quotePrefix="1" applyFont="1" applyFill="1" applyBorder="1" applyAlignment="1">
      <alignment horizontal="left" vertical="center"/>
    </xf>
    <xf numFmtId="4" fontId="9" fillId="6" borderId="11" xfId="0" applyNumberFormat="1" applyFont="1" applyFill="1" applyBorder="1" applyAlignment="1">
      <alignment vertical="center"/>
    </xf>
    <xf numFmtId="0" fontId="7" fillId="2" borderId="12" xfId="0" quotePrefix="1" applyFont="1" applyFill="1" applyBorder="1" applyAlignment="1">
      <alignment horizontal="left" vertical="center"/>
    </xf>
    <xf numFmtId="0" fontId="7" fillId="2" borderId="13" xfId="0" quotePrefix="1" applyFont="1" applyFill="1" applyBorder="1" applyAlignment="1">
      <alignment horizontal="left" vertical="center"/>
    </xf>
    <xf numFmtId="0" fontId="7" fillId="2" borderId="13" xfId="0" applyNumberFormat="1" applyFont="1" applyFill="1" applyBorder="1" applyAlignment="1" applyProtection="1">
      <alignment horizontal="left" vertical="center" wrapText="1"/>
    </xf>
    <xf numFmtId="4" fontId="7" fillId="2" borderId="13" xfId="0" applyNumberFormat="1" applyFont="1" applyFill="1" applyBorder="1" applyAlignment="1">
      <alignment horizontal="right"/>
    </xf>
    <xf numFmtId="4" fontId="3" fillId="2" borderId="13" xfId="0" applyNumberFormat="1" applyFont="1" applyFill="1" applyBorder="1" applyAlignment="1">
      <alignment horizontal="right"/>
    </xf>
    <xf numFmtId="4" fontId="19" fillId="2" borderId="13" xfId="0" applyNumberFormat="1" applyFont="1" applyFill="1" applyBorder="1" applyAlignment="1">
      <alignment horizontal="right"/>
    </xf>
    <xf numFmtId="4" fontId="19" fillId="2" borderId="14" xfId="0" applyNumberFormat="1" applyFont="1" applyFill="1" applyBorder="1" applyAlignment="1">
      <alignment horizontal="right"/>
    </xf>
    <xf numFmtId="4" fontId="9" fillId="6" borderId="3" xfId="0" applyNumberFormat="1" applyFont="1" applyFill="1" applyBorder="1" applyAlignment="1" applyProtection="1">
      <alignment vertical="center" wrapText="1"/>
    </xf>
    <xf numFmtId="4" fontId="9" fillId="4" borderId="3" xfId="0" applyNumberFormat="1" applyFont="1" applyFill="1" applyBorder="1" applyAlignment="1" applyProtection="1">
      <alignment vertical="center" wrapText="1"/>
    </xf>
    <xf numFmtId="4" fontId="9" fillId="4" borderId="3" xfId="0" applyNumberFormat="1" applyFont="1" applyFill="1" applyBorder="1" applyAlignment="1" applyProtection="1">
      <alignment horizontal="right" vertical="center" wrapText="1"/>
    </xf>
    <xf numFmtId="4" fontId="6" fillId="4" borderId="8" xfId="0" applyNumberFormat="1" applyFont="1" applyFill="1" applyBorder="1" applyAlignment="1" applyProtection="1">
      <alignment horizontal="right" vertical="center" wrapText="1"/>
    </xf>
    <xf numFmtId="4" fontId="9" fillId="4" borderId="8" xfId="0" applyNumberFormat="1" applyFont="1" applyFill="1" applyBorder="1" applyAlignment="1" applyProtection="1">
      <alignment horizontal="right" vertical="center" wrapText="1"/>
    </xf>
    <xf numFmtId="4" fontId="9" fillId="4" borderId="19" xfId="0" applyNumberFormat="1" applyFont="1" applyFill="1" applyBorder="1" applyAlignment="1" applyProtection="1">
      <alignment horizontal="right" vertical="center" wrapText="1"/>
    </xf>
    <xf numFmtId="4" fontId="7" fillId="0" borderId="11" xfId="0" applyNumberFormat="1" applyFont="1" applyFill="1" applyBorder="1" applyAlignment="1" applyProtection="1">
      <alignment vertical="center" wrapText="1"/>
    </xf>
    <xf numFmtId="0" fontId="8" fillId="2" borderId="13" xfId="0" applyNumberFormat="1" applyFont="1" applyFill="1" applyBorder="1" applyAlignment="1" applyProtection="1">
      <alignment horizontal="center" vertical="center" wrapText="1"/>
    </xf>
    <xf numFmtId="0" fontId="8" fillId="2" borderId="13" xfId="0" quotePrefix="1" applyFont="1" applyFill="1" applyBorder="1" applyAlignment="1">
      <alignment horizontal="center" vertical="center"/>
    </xf>
    <xf numFmtId="4" fontId="7" fillId="0" borderId="11" xfId="0" applyNumberFormat="1" applyFont="1" applyFill="1" applyBorder="1" applyAlignment="1">
      <alignment horizontal="right"/>
    </xf>
    <xf numFmtId="4" fontId="9" fillId="6" borderId="11" xfId="0" applyNumberFormat="1" applyFont="1" applyFill="1" applyBorder="1" applyAlignment="1" applyProtection="1">
      <alignment vertical="center" wrapText="1"/>
    </xf>
    <xf numFmtId="0" fontId="7" fillId="0" borderId="27" xfId="0" applyNumberFormat="1" applyFont="1" applyFill="1" applyBorder="1" applyAlignment="1" applyProtection="1">
      <alignment horizontal="center" vertical="center" wrapText="1"/>
    </xf>
    <xf numFmtId="4" fontId="7" fillId="0" borderId="28" xfId="0" applyNumberFormat="1" applyFont="1" applyFill="1" applyBorder="1" applyAlignment="1" applyProtection="1">
      <alignment vertical="center" wrapText="1"/>
    </xf>
    <xf numFmtId="4" fontId="9" fillId="4" borderId="11" xfId="0" applyNumberFormat="1" applyFont="1" applyFill="1" applyBorder="1" applyAlignment="1" applyProtection="1">
      <alignment vertical="center" wrapText="1"/>
    </xf>
    <xf numFmtId="4" fontId="9" fillId="0" borderId="11" xfId="0" applyNumberFormat="1" applyFont="1" applyFill="1" applyBorder="1" applyAlignment="1" applyProtection="1">
      <alignment horizontal="right" vertical="center" wrapText="1"/>
    </xf>
    <xf numFmtId="0" fontId="14" fillId="2" borderId="13" xfId="0" applyNumberFormat="1" applyFont="1" applyFill="1" applyBorder="1" applyAlignment="1" applyProtection="1">
      <alignment horizontal="center" vertical="center" wrapText="1"/>
    </xf>
    <xf numFmtId="0" fontId="8" fillId="4" borderId="3" xfId="0" applyNumberFormat="1" applyFont="1" applyFill="1" applyBorder="1" applyAlignment="1" applyProtection="1">
      <alignment horizontal="center" vertical="center" wrapText="1"/>
    </xf>
    <xf numFmtId="3" fontId="8" fillId="4" borderId="3" xfId="0" applyNumberFormat="1" applyFont="1" applyFill="1" applyBorder="1" applyAlignment="1">
      <alignment horizontal="center"/>
    </xf>
    <xf numFmtId="3" fontId="8" fillId="4" borderId="11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3" fontId="8" fillId="2" borderId="3" xfId="0" applyNumberFormat="1" applyFont="1" applyFill="1" applyBorder="1" applyAlignment="1">
      <alignment horizontal="right"/>
    </xf>
    <xf numFmtId="3" fontId="8" fillId="2" borderId="11" xfId="0" applyNumberFormat="1" applyFont="1" applyFill="1" applyBorder="1" applyAlignment="1" applyProtection="1">
      <alignment horizontal="right" wrapText="1"/>
    </xf>
    <xf numFmtId="3" fontId="7" fillId="2" borderId="3" xfId="0" applyNumberFormat="1" applyFont="1" applyFill="1" applyBorder="1" applyAlignment="1">
      <alignment horizontal="right"/>
    </xf>
    <xf numFmtId="3" fontId="7" fillId="2" borderId="11" xfId="0" applyNumberFormat="1" applyFont="1" applyFill="1" applyBorder="1" applyAlignment="1" applyProtection="1">
      <alignment horizontal="right" wrapText="1"/>
    </xf>
    <xf numFmtId="3" fontId="7" fillId="2" borderId="11" xfId="0" applyNumberFormat="1" applyFont="1" applyFill="1" applyBorder="1" applyAlignment="1">
      <alignment horizontal="right" wrapText="1"/>
    </xf>
    <xf numFmtId="0" fontId="8" fillId="2" borderId="3" xfId="0" applyFont="1" applyFill="1" applyBorder="1" applyAlignment="1">
      <alignment horizontal="center" vertical="center" wrapText="1"/>
    </xf>
    <xf numFmtId="3" fontId="8" fillId="2" borderId="11" xfId="0" applyNumberFormat="1" applyFont="1" applyFill="1" applyBorder="1" applyAlignment="1">
      <alignment horizontal="right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25" fillId="0" borderId="0" xfId="0" applyFont="1" applyAlignment="1">
      <alignment vertical="center" wrapText="1"/>
    </xf>
    <xf numFmtId="0" fontId="2" fillId="5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7" fillId="2" borderId="10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14" fillId="0" borderId="12" xfId="0" applyNumberFormat="1" applyFont="1" applyFill="1" applyBorder="1" applyAlignment="1" applyProtection="1">
      <alignment horizontal="center" vertical="center" wrapText="1"/>
    </xf>
    <xf numFmtId="0" fontId="14" fillId="0" borderId="13" xfId="0" applyNumberFormat="1" applyFont="1" applyFill="1" applyBorder="1" applyAlignment="1" applyProtection="1">
      <alignment horizontal="center" vertical="center" wrapText="1"/>
    </xf>
    <xf numFmtId="0" fontId="9" fillId="6" borderId="10" xfId="0" applyNumberFormat="1" applyFont="1" applyFill="1" applyBorder="1" applyAlignment="1" applyProtection="1">
      <alignment horizontal="center" vertical="center" wrapText="1"/>
    </xf>
    <xf numFmtId="0" fontId="9" fillId="6" borderId="3" xfId="0" applyNumberFormat="1" applyFont="1" applyFill="1" applyBorder="1" applyAlignment="1" applyProtection="1">
      <alignment horizontal="center" vertical="center" wrapText="1"/>
    </xf>
    <xf numFmtId="0" fontId="7" fillId="2" borderId="17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6" fillId="4" borderId="15" xfId="0" applyNumberFormat="1" applyFont="1" applyFill="1" applyBorder="1" applyAlignment="1" applyProtection="1">
      <alignment horizontal="center" vertical="center" wrapText="1"/>
    </xf>
    <xf numFmtId="0" fontId="6" fillId="4" borderId="16" xfId="0" applyNumberFormat="1" applyFont="1" applyFill="1" applyBorder="1" applyAlignment="1" applyProtection="1">
      <alignment horizontal="center" vertical="center" wrapText="1"/>
    </xf>
    <xf numFmtId="0" fontId="6" fillId="4" borderId="9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14" fillId="2" borderId="12" xfId="0" applyNumberFormat="1" applyFont="1" applyFill="1" applyBorder="1" applyAlignment="1" applyProtection="1">
      <alignment horizontal="center" vertical="center" wrapText="1"/>
    </xf>
    <xf numFmtId="0" fontId="14" fillId="2" borderId="13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9" fillId="2" borderId="1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6" fillId="4" borderId="17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14" fillId="0" borderId="17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6" fillId="4" borderId="7" xfId="0" applyNumberFormat="1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8" fillId="4" borderId="10" xfId="0" applyNumberFormat="1" applyFont="1" applyFill="1" applyBorder="1" applyAlignment="1" applyProtection="1">
      <alignment horizontal="center" vertical="center" wrapText="1"/>
    </xf>
    <xf numFmtId="0" fontId="8" fillId="4" borderId="3" xfId="0" applyNumberFormat="1" applyFont="1" applyFill="1" applyBorder="1" applyAlignment="1" applyProtection="1">
      <alignment horizontal="center" vertical="center" wrapText="1"/>
    </xf>
    <xf numFmtId="0" fontId="9" fillId="4" borderId="10" xfId="0" applyNumberFormat="1" applyFont="1" applyFill="1" applyBorder="1" applyAlignment="1" applyProtection="1">
      <alignment horizontal="center" vertical="center" wrapText="1"/>
    </xf>
    <xf numFmtId="0" fontId="9" fillId="4" borderId="3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zoomScaleNormal="100" workbookViewId="0">
      <selection activeCell="C15" sqref="C15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312" t="s">
        <v>148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ht="18" customHeight="1" x14ac:dyDescent="0.25">
      <c r="A2" s="323" t="s">
        <v>144</v>
      </c>
      <c r="B2" s="323"/>
      <c r="C2" s="323"/>
      <c r="D2" s="323"/>
      <c r="E2" s="323"/>
      <c r="F2" s="323"/>
      <c r="G2" s="323"/>
      <c r="H2" s="323"/>
      <c r="I2" s="323"/>
      <c r="J2" s="323"/>
    </row>
    <row r="3" spans="1:10" ht="15.75" x14ac:dyDescent="0.25">
      <c r="A3" s="312" t="s">
        <v>18</v>
      </c>
      <c r="B3" s="312"/>
      <c r="C3" s="312"/>
      <c r="D3" s="312"/>
      <c r="E3" s="312"/>
      <c r="F3" s="312"/>
      <c r="G3" s="312"/>
      <c r="H3" s="312"/>
      <c r="I3" s="316"/>
      <c r="J3" s="316"/>
    </row>
    <row r="4" spans="1:10" ht="18" x14ac:dyDescent="0.25">
      <c r="A4" s="25"/>
      <c r="B4" s="25"/>
      <c r="C4" s="25"/>
      <c r="D4" s="25"/>
      <c r="E4" s="25"/>
      <c r="F4" s="25"/>
      <c r="G4" s="25"/>
      <c r="H4" s="25"/>
      <c r="I4" s="5"/>
      <c r="J4" s="5"/>
    </row>
    <row r="5" spans="1:10" ht="15.75" x14ac:dyDescent="0.25">
      <c r="A5" s="312" t="s">
        <v>24</v>
      </c>
      <c r="B5" s="313"/>
      <c r="C5" s="313"/>
      <c r="D5" s="313"/>
      <c r="E5" s="313"/>
      <c r="F5" s="313"/>
      <c r="G5" s="313"/>
      <c r="H5" s="313"/>
      <c r="I5" s="313"/>
      <c r="J5" s="313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4"/>
    </row>
    <row r="7" spans="1:10" ht="25.5" x14ac:dyDescent="0.25">
      <c r="A7" s="29"/>
      <c r="B7" s="30"/>
      <c r="C7" s="30"/>
      <c r="D7" s="31"/>
      <c r="E7" s="32"/>
      <c r="F7" s="3" t="s">
        <v>134</v>
      </c>
      <c r="G7" s="3" t="s">
        <v>135</v>
      </c>
      <c r="H7" s="3" t="s">
        <v>146</v>
      </c>
      <c r="I7" s="3" t="s">
        <v>36</v>
      </c>
      <c r="J7" s="3" t="s">
        <v>147</v>
      </c>
    </row>
    <row r="8" spans="1:10" x14ac:dyDescent="0.25">
      <c r="A8" s="303" t="s">
        <v>0</v>
      </c>
      <c r="B8" s="302"/>
      <c r="C8" s="302"/>
      <c r="D8" s="302"/>
      <c r="E8" s="317"/>
      <c r="F8" s="125">
        <f>F9+F10</f>
        <v>1124579.74</v>
      </c>
      <c r="G8" s="88">
        <f>G9+G10</f>
        <v>961050</v>
      </c>
      <c r="H8" s="125">
        <f>H9+H10</f>
        <v>1324848</v>
      </c>
      <c r="I8" s="125">
        <f t="shared" ref="I8:J8" si="0">I9+I10</f>
        <v>1343835.72</v>
      </c>
      <c r="J8" s="125">
        <f t="shared" si="0"/>
        <v>1363108.2557999999</v>
      </c>
    </row>
    <row r="9" spans="1:10" x14ac:dyDescent="0.25">
      <c r="A9" s="318" t="s">
        <v>30</v>
      </c>
      <c r="B9" s="319"/>
      <c r="C9" s="319"/>
      <c r="D9" s="319"/>
      <c r="E9" s="315"/>
      <c r="F9" s="126">
        <v>1124579.74</v>
      </c>
      <c r="G9" s="161">
        <v>961050</v>
      </c>
      <c r="H9" s="126">
        <v>1324848</v>
      </c>
      <c r="I9" s="126">
        <f>H9*1.015-885</f>
        <v>1343835.72</v>
      </c>
      <c r="J9" s="126">
        <f>I9*1.015-885</f>
        <v>1363108.2557999999</v>
      </c>
    </row>
    <row r="10" spans="1:10" x14ac:dyDescent="0.25">
      <c r="A10" s="320" t="s">
        <v>31</v>
      </c>
      <c r="B10" s="315"/>
      <c r="C10" s="315"/>
      <c r="D10" s="315"/>
      <c r="E10" s="315"/>
      <c r="F10" s="87"/>
      <c r="G10" s="161"/>
      <c r="H10" s="87"/>
      <c r="I10" s="87"/>
      <c r="J10" s="87"/>
    </row>
    <row r="11" spans="1:10" x14ac:dyDescent="0.25">
      <c r="A11" s="35" t="s">
        <v>1</v>
      </c>
      <c r="B11" s="43"/>
      <c r="C11" s="43"/>
      <c r="D11" s="43"/>
      <c r="E11" s="43"/>
      <c r="F11" s="125">
        <f>F12+F13</f>
        <v>1129264.24</v>
      </c>
      <c r="G11" s="88">
        <f t="shared" ref="G11:J11" si="1">G12+G13</f>
        <v>961050</v>
      </c>
      <c r="H11" s="125">
        <f t="shared" si="1"/>
        <v>1324848</v>
      </c>
      <c r="I11" s="125">
        <f t="shared" si="1"/>
        <v>1343835.72</v>
      </c>
      <c r="J11" s="125">
        <f t="shared" si="1"/>
        <v>1363108.2557999999</v>
      </c>
    </row>
    <row r="12" spans="1:10" x14ac:dyDescent="0.25">
      <c r="A12" s="321" t="s">
        <v>32</v>
      </c>
      <c r="B12" s="319"/>
      <c r="C12" s="319"/>
      <c r="D12" s="319"/>
      <c r="E12" s="319"/>
      <c r="F12" s="126">
        <v>1030717.71</v>
      </c>
      <c r="G12" s="161">
        <v>948400</v>
      </c>
      <c r="H12" s="126">
        <v>1314248</v>
      </c>
      <c r="I12" s="126">
        <f>H12*1.015-885</f>
        <v>1333076.72</v>
      </c>
      <c r="J12" s="162">
        <f>I12*1.015-885</f>
        <v>1352187.8707999999</v>
      </c>
    </row>
    <row r="13" spans="1:10" x14ac:dyDescent="0.25">
      <c r="A13" s="314" t="s">
        <v>33</v>
      </c>
      <c r="B13" s="315"/>
      <c r="C13" s="315"/>
      <c r="D13" s="315"/>
      <c r="E13" s="315"/>
      <c r="F13" s="127">
        <v>98546.53</v>
      </c>
      <c r="G13" s="163">
        <v>12650</v>
      </c>
      <c r="H13" s="127">
        <v>10600</v>
      </c>
      <c r="I13" s="126">
        <f>H13*1.015</f>
        <v>10758.999999999998</v>
      </c>
      <c r="J13" s="162">
        <f>I13*1.015</f>
        <v>10920.384999999997</v>
      </c>
    </row>
    <row r="14" spans="1:10" x14ac:dyDescent="0.25">
      <c r="A14" s="301" t="s">
        <v>57</v>
      </c>
      <c r="B14" s="302"/>
      <c r="C14" s="302"/>
      <c r="D14" s="302"/>
      <c r="E14" s="302"/>
      <c r="F14" s="125">
        <f>F8-F11</f>
        <v>-4684.5</v>
      </c>
      <c r="G14" s="88">
        <f>G8-G11</f>
        <v>0</v>
      </c>
      <c r="H14" s="88">
        <f t="shared" ref="H14:J14" si="2">H8-H11</f>
        <v>0</v>
      </c>
      <c r="I14" s="88">
        <f t="shared" si="2"/>
        <v>0</v>
      </c>
      <c r="J14" s="88">
        <f t="shared" si="2"/>
        <v>0</v>
      </c>
    </row>
    <row r="15" spans="1:10" ht="18" x14ac:dyDescent="0.25">
      <c r="A15" s="25"/>
      <c r="B15" s="23"/>
      <c r="C15" s="23"/>
      <c r="D15" s="23"/>
      <c r="E15" s="23"/>
      <c r="F15" s="23"/>
      <c r="G15" s="23"/>
      <c r="H15" s="24"/>
      <c r="I15" s="24"/>
      <c r="J15" s="24"/>
    </row>
    <row r="16" spans="1:10" ht="15.75" x14ac:dyDescent="0.25">
      <c r="A16" s="312" t="s">
        <v>25</v>
      </c>
      <c r="B16" s="313"/>
      <c r="C16" s="313"/>
      <c r="D16" s="313"/>
      <c r="E16" s="313"/>
      <c r="F16" s="313"/>
      <c r="G16" s="313"/>
      <c r="H16" s="313"/>
      <c r="I16" s="313"/>
      <c r="J16" s="313"/>
    </row>
    <row r="17" spans="1:10" ht="18" x14ac:dyDescent="0.25">
      <c r="A17" s="25"/>
      <c r="B17" s="23"/>
      <c r="C17" s="23"/>
      <c r="D17" s="23"/>
      <c r="E17" s="23"/>
      <c r="F17" s="23"/>
      <c r="G17" s="23"/>
      <c r="H17" s="24"/>
      <c r="I17" s="24"/>
      <c r="J17" s="24"/>
    </row>
    <row r="18" spans="1:10" ht="25.5" x14ac:dyDescent="0.25">
      <c r="A18" s="29"/>
      <c r="B18" s="30"/>
      <c r="C18" s="30"/>
      <c r="D18" s="31"/>
      <c r="E18" s="32"/>
      <c r="F18" s="3" t="s">
        <v>134</v>
      </c>
      <c r="G18" s="3" t="s">
        <v>135</v>
      </c>
      <c r="H18" s="3" t="s">
        <v>146</v>
      </c>
      <c r="I18" s="3" t="s">
        <v>36</v>
      </c>
      <c r="J18" s="3" t="s">
        <v>147</v>
      </c>
    </row>
    <row r="19" spans="1:10" x14ac:dyDescent="0.25">
      <c r="A19" s="314" t="s">
        <v>34</v>
      </c>
      <c r="B19" s="315"/>
      <c r="C19" s="315"/>
      <c r="D19" s="315"/>
      <c r="E19" s="315"/>
      <c r="F19" s="45"/>
      <c r="G19" s="45"/>
      <c r="H19" s="45"/>
      <c r="I19" s="45"/>
      <c r="J19" s="44"/>
    </row>
    <row r="20" spans="1:10" x14ac:dyDescent="0.25">
      <c r="A20" s="314" t="s">
        <v>35</v>
      </c>
      <c r="B20" s="315"/>
      <c r="C20" s="315"/>
      <c r="D20" s="315"/>
      <c r="E20" s="315"/>
      <c r="F20" s="45"/>
      <c r="G20" s="45"/>
      <c r="H20" s="45"/>
      <c r="I20" s="45"/>
      <c r="J20" s="44"/>
    </row>
    <row r="21" spans="1:10" x14ac:dyDescent="0.25">
      <c r="A21" s="301" t="s">
        <v>2</v>
      </c>
      <c r="B21" s="302"/>
      <c r="C21" s="302"/>
      <c r="D21" s="302"/>
      <c r="E21" s="302"/>
      <c r="F21" s="128">
        <v>0</v>
      </c>
      <c r="G21" s="33">
        <f t="shared" ref="G21:J21" si="3">G19-G20</f>
        <v>0</v>
      </c>
      <c r="H21" s="33">
        <f t="shared" si="3"/>
        <v>0</v>
      </c>
      <c r="I21" s="33">
        <f t="shared" si="3"/>
        <v>0</v>
      </c>
      <c r="J21" s="33">
        <f t="shared" si="3"/>
        <v>0</v>
      </c>
    </row>
    <row r="22" spans="1:10" x14ac:dyDescent="0.25">
      <c r="A22" s="301" t="s">
        <v>58</v>
      </c>
      <c r="B22" s="302"/>
      <c r="C22" s="302"/>
      <c r="D22" s="302"/>
      <c r="E22" s="302"/>
      <c r="F22" s="128">
        <v>0</v>
      </c>
      <c r="G22" s="33">
        <f t="shared" ref="G22:J22" si="4">G14+G21</f>
        <v>0</v>
      </c>
      <c r="H22" s="33">
        <f t="shared" si="4"/>
        <v>0</v>
      </c>
      <c r="I22" s="33">
        <f t="shared" si="4"/>
        <v>0</v>
      </c>
      <c r="J22" s="33">
        <f t="shared" si="4"/>
        <v>0</v>
      </c>
    </row>
    <row r="23" spans="1:10" ht="18" x14ac:dyDescent="0.25">
      <c r="A23" s="22"/>
      <c r="B23" s="23"/>
      <c r="C23" s="23"/>
      <c r="D23" s="23"/>
      <c r="E23" s="23"/>
      <c r="F23" s="23"/>
      <c r="G23" s="23"/>
      <c r="H23" s="24"/>
      <c r="I23" s="24"/>
      <c r="J23" s="24"/>
    </row>
    <row r="24" spans="1:10" ht="15.75" x14ac:dyDescent="0.25">
      <c r="A24" s="312" t="s">
        <v>59</v>
      </c>
      <c r="B24" s="313"/>
      <c r="C24" s="313"/>
      <c r="D24" s="313"/>
      <c r="E24" s="313"/>
      <c r="F24" s="313"/>
      <c r="G24" s="313"/>
      <c r="H24" s="313"/>
      <c r="I24" s="313"/>
      <c r="J24" s="313"/>
    </row>
    <row r="25" spans="1:10" ht="15.75" x14ac:dyDescent="0.25">
      <c r="A25" s="41"/>
      <c r="B25" s="42"/>
      <c r="C25" s="42"/>
      <c r="D25" s="42"/>
      <c r="E25" s="42"/>
      <c r="F25" s="42"/>
      <c r="G25" s="42"/>
      <c r="H25" s="42"/>
      <c r="I25" s="42"/>
      <c r="J25" s="42"/>
    </row>
    <row r="26" spans="1:10" ht="25.5" x14ac:dyDescent="0.25">
      <c r="A26" s="29"/>
      <c r="B26" s="30"/>
      <c r="C26" s="30"/>
      <c r="D26" s="31"/>
      <c r="E26" s="32"/>
      <c r="F26" s="3" t="s">
        <v>134</v>
      </c>
      <c r="G26" s="3" t="s">
        <v>135</v>
      </c>
      <c r="H26" s="3" t="s">
        <v>146</v>
      </c>
      <c r="I26" s="3" t="s">
        <v>36</v>
      </c>
      <c r="J26" s="3" t="s">
        <v>147</v>
      </c>
    </row>
    <row r="27" spans="1:10" ht="15" customHeight="1" x14ac:dyDescent="0.25">
      <c r="A27" s="307" t="s">
        <v>60</v>
      </c>
      <c r="B27" s="308"/>
      <c r="C27" s="308"/>
      <c r="D27" s="308"/>
      <c r="E27" s="309"/>
      <c r="F27" s="164">
        <v>25595.919999999998</v>
      </c>
      <c r="G27" s="164">
        <v>23604</v>
      </c>
      <c r="H27" s="164">
        <v>0</v>
      </c>
      <c r="I27" s="164">
        <f>H27*1.02</f>
        <v>0</v>
      </c>
      <c r="J27" s="166">
        <f>H27*1.04</f>
        <v>0</v>
      </c>
    </row>
    <row r="28" spans="1:10" ht="15" customHeight="1" x14ac:dyDescent="0.25">
      <c r="A28" s="301" t="s">
        <v>61</v>
      </c>
      <c r="B28" s="302"/>
      <c r="C28" s="302"/>
      <c r="D28" s="302"/>
      <c r="E28" s="302"/>
      <c r="F28" s="165">
        <v>20911.419999999998</v>
      </c>
      <c r="G28" s="165">
        <v>23604</v>
      </c>
      <c r="H28" s="165">
        <v>0</v>
      </c>
      <c r="I28" s="165">
        <f t="shared" ref="I28:J28" si="5">I22+I27</f>
        <v>0</v>
      </c>
      <c r="J28" s="167">
        <f t="shared" si="5"/>
        <v>0</v>
      </c>
    </row>
    <row r="29" spans="1:10" ht="45" customHeight="1" x14ac:dyDescent="0.25">
      <c r="A29" s="303" t="s">
        <v>62</v>
      </c>
      <c r="B29" s="304"/>
      <c r="C29" s="304"/>
      <c r="D29" s="304"/>
      <c r="E29" s="305"/>
      <c r="F29" s="76"/>
      <c r="G29" s="47"/>
      <c r="H29" s="47"/>
      <c r="I29" s="47">
        <f t="shared" ref="I29:J29" si="6">I14+I21+I27-I28</f>
        <v>0</v>
      </c>
      <c r="J29" s="48">
        <f t="shared" si="6"/>
        <v>0</v>
      </c>
    </row>
    <row r="30" spans="1:10" ht="15.75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</row>
    <row r="31" spans="1:10" ht="15.75" x14ac:dyDescent="0.25">
      <c r="A31" s="306" t="s">
        <v>56</v>
      </c>
      <c r="B31" s="306"/>
      <c r="C31" s="306"/>
      <c r="D31" s="306"/>
      <c r="E31" s="306"/>
      <c r="F31" s="306"/>
      <c r="G31" s="306"/>
      <c r="H31" s="306"/>
      <c r="I31" s="306"/>
      <c r="J31" s="306"/>
    </row>
    <row r="32" spans="1:10" ht="18" x14ac:dyDescent="0.25">
      <c r="A32" s="51"/>
      <c r="B32" s="52"/>
      <c r="C32" s="52"/>
      <c r="D32" s="52"/>
      <c r="E32" s="52"/>
      <c r="F32" s="52"/>
      <c r="G32" s="52"/>
      <c r="H32" s="53"/>
      <c r="I32" s="53"/>
      <c r="J32" s="53"/>
    </row>
    <row r="33" spans="1:10" ht="25.5" x14ac:dyDescent="0.25">
      <c r="A33" s="54"/>
      <c r="B33" s="55"/>
      <c r="C33" s="55"/>
      <c r="D33" s="56"/>
      <c r="E33" s="57"/>
      <c r="F33" s="58" t="s">
        <v>134</v>
      </c>
      <c r="G33" s="58" t="s">
        <v>135</v>
      </c>
      <c r="H33" s="58" t="s">
        <v>146</v>
      </c>
      <c r="I33" s="58" t="s">
        <v>36</v>
      </c>
      <c r="J33" s="58" t="s">
        <v>147</v>
      </c>
    </row>
    <row r="34" spans="1:10" x14ac:dyDescent="0.25">
      <c r="A34" s="307" t="s">
        <v>60</v>
      </c>
      <c r="B34" s="308"/>
      <c r="C34" s="308"/>
      <c r="D34" s="308"/>
      <c r="E34" s="309"/>
      <c r="F34" s="46">
        <v>0</v>
      </c>
      <c r="G34" s="46">
        <f>F37</f>
        <v>0</v>
      </c>
      <c r="H34" s="46">
        <f>G37</f>
        <v>0</v>
      </c>
      <c r="I34" s="46">
        <f>H37</f>
        <v>0</v>
      </c>
      <c r="J34" s="168">
        <f>I37</f>
        <v>0</v>
      </c>
    </row>
    <row r="35" spans="1:10" ht="28.5" customHeight="1" x14ac:dyDescent="0.25">
      <c r="A35" s="307" t="s">
        <v>63</v>
      </c>
      <c r="B35" s="308"/>
      <c r="C35" s="308"/>
      <c r="D35" s="308"/>
      <c r="E35" s="309"/>
      <c r="F35" s="46">
        <v>0</v>
      </c>
      <c r="G35" s="46">
        <v>0</v>
      </c>
      <c r="H35" s="46">
        <v>0</v>
      </c>
      <c r="I35" s="46">
        <v>0</v>
      </c>
      <c r="J35" s="168">
        <v>0</v>
      </c>
    </row>
    <row r="36" spans="1:10" x14ac:dyDescent="0.25">
      <c r="A36" s="307" t="s">
        <v>64</v>
      </c>
      <c r="B36" s="310"/>
      <c r="C36" s="310"/>
      <c r="D36" s="310"/>
      <c r="E36" s="311"/>
      <c r="F36" s="46">
        <v>0</v>
      </c>
      <c r="G36" s="46">
        <v>0</v>
      </c>
      <c r="H36" s="46"/>
      <c r="I36" s="46">
        <v>0</v>
      </c>
      <c r="J36" s="168">
        <v>0</v>
      </c>
    </row>
    <row r="37" spans="1:10" ht="15" customHeight="1" x14ac:dyDescent="0.25">
      <c r="A37" s="301" t="s">
        <v>61</v>
      </c>
      <c r="B37" s="302"/>
      <c r="C37" s="302"/>
      <c r="D37" s="302"/>
      <c r="E37" s="302"/>
      <c r="F37" s="47">
        <v>0</v>
      </c>
      <c r="G37" s="47">
        <v>0</v>
      </c>
      <c r="H37" s="47">
        <v>0</v>
      </c>
      <c r="I37" s="47">
        <v>0</v>
      </c>
      <c r="J37" s="48">
        <f t="shared" ref="J37" si="7">J34-J35+J36</f>
        <v>0</v>
      </c>
    </row>
    <row r="38" spans="1:10" ht="17.25" customHeight="1" x14ac:dyDescent="0.25"/>
    <row r="39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2:J2"/>
    <mergeCell ref="A21:E21"/>
    <mergeCell ref="A22:E22"/>
    <mergeCell ref="A24:J24"/>
    <mergeCell ref="A27:E27"/>
    <mergeCell ref="A28:E28"/>
    <mergeCell ref="A37:E37"/>
    <mergeCell ref="A29:E29"/>
    <mergeCell ref="A31:J31"/>
    <mergeCell ref="A34:E34"/>
    <mergeCell ref="A35:E35"/>
    <mergeCell ref="A36:E36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1"/>
  <sheetViews>
    <sheetView tabSelected="1" zoomScale="110" zoomScaleNormal="110" workbookViewId="0">
      <selection activeCell="A5" sqref="A5:H5"/>
    </sheetView>
  </sheetViews>
  <sheetFormatPr defaultRowHeight="15" x14ac:dyDescent="0.25"/>
  <cols>
    <col min="1" max="1" width="7.5703125" style="68" bestFit="1" customWidth="1"/>
    <col min="2" max="2" width="8.5703125" style="68" bestFit="1" customWidth="1"/>
    <col min="3" max="3" width="55.85546875" style="68" customWidth="1"/>
    <col min="4" max="4" width="14.28515625" style="68" customWidth="1"/>
    <col min="5" max="5" width="14.140625" style="68" customWidth="1"/>
    <col min="6" max="8" width="14.28515625" style="68" customWidth="1"/>
    <col min="9" max="9" width="11.28515625" bestFit="1" customWidth="1"/>
  </cols>
  <sheetData>
    <row r="1" spans="1:8" ht="42" customHeight="1" x14ac:dyDescent="0.25">
      <c r="A1" s="312" t="s">
        <v>148</v>
      </c>
      <c r="B1" s="312"/>
      <c r="C1" s="312"/>
      <c r="D1" s="312"/>
      <c r="E1" s="312"/>
      <c r="F1" s="312"/>
      <c r="G1" s="312"/>
      <c r="H1" s="312"/>
    </row>
    <row r="2" spans="1:8" ht="18" customHeight="1" x14ac:dyDescent="0.25">
      <c r="A2" s="25"/>
      <c r="B2" s="25"/>
      <c r="C2" s="25"/>
      <c r="D2" s="323" t="s">
        <v>144</v>
      </c>
      <c r="E2" s="323"/>
      <c r="F2" s="323"/>
      <c r="G2" s="25"/>
      <c r="H2" s="25"/>
    </row>
    <row r="3" spans="1:8" ht="15.75" customHeight="1" x14ac:dyDescent="0.25">
      <c r="A3" s="312" t="s">
        <v>18</v>
      </c>
      <c r="B3" s="312"/>
      <c r="C3" s="312"/>
      <c r="D3" s="312"/>
      <c r="E3" s="312"/>
      <c r="F3" s="312"/>
      <c r="G3" s="312"/>
      <c r="H3" s="312"/>
    </row>
    <row r="4" spans="1:8" ht="18" x14ac:dyDescent="0.25">
      <c r="A4" s="25"/>
      <c r="B4" s="25"/>
      <c r="C4" s="25"/>
      <c r="D4" s="25"/>
      <c r="E4" s="25"/>
      <c r="F4" s="25"/>
      <c r="G4" s="5"/>
      <c r="H4" s="5"/>
    </row>
    <row r="5" spans="1:8" ht="18" customHeight="1" x14ac:dyDescent="0.25">
      <c r="A5" s="312" t="s">
        <v>4</v>
      </c>
      <c r="B5" s="312"/>
      <c r="C5" s="312"/>
      <c r="D5" s="312"/>
      <c r="E5" s="312"/>
      <c r="F5" s="312"/>
      <c r="G5" s="312"/>
      <c r="H5" s="312"/>
    </row>
    <row r="6" spans="1:8" ht="15.75" customHeight="1" x14ac:dyDescent="0.25">
      <c r="A6" s="312" t="s">
        <v>37</v>
      </c>
      <c r="B6" s="312"/>
      <c r="C6" s="312"/>
      <c r="D6" s="312"/>
      <c r="E6" s="312"/>
      <c r="F6" s="312"/>
      <c r="G6" s="312"/>
      <c r="H6" s="312"/>
    </row>
    <row r="7" spans="1:8" ht="15.75" customHeight="1" thickBot="1" x14ac:dyDescent="0.3">
      <c r="A7" s="80"/>
      <c r="B7" s="80"/>
      <c r="C7" s="80"/>
      <c r="D7" s="80"/>
      <c r="E7" s="80"/>
      <c r="F7" s="80"/>
      <c r="G7" s="80"/>
      <c r="H7" s="114"/>
    </row>
    <row r="8" spans="1:8" ht="26.25" thickBot="1" x14ac:dyDescent="0.3">
      <c r="A8" s="253" t="s">
        <v>5</v>
      </c>
      <c r="B8" s="254" t="s">
        <v>6</v>
      </c>
      <c r="C8" s="254" t="s">
        <v>3</v>
      </c>
      <c r="D8" s="254" t="s">
        <v>134</v>
      </c>
      <c r="E8" s="254" t="s">
        <v>135</v>
      </c>
      <c r="F8" s="254" t="s">
        <v>136</v>
      </c>
      <c r="G8" s="254" t="s">
        <v>29</v>
      </c>
      <c r="H8" s="255" t="s">
        <v>137</v>
      </c>
    </row>
    <row r="9" spans="1:8" x14ac:dyDescent="0.25">
      <c r="A9" s="256"/>
      <c r="B9" s="257"/>
      <c r="C9" s="258" t="s">
        <v>0</v>
      </c>
      <c r="D9" s="259">
        <f>D10</f>
        <v>1124579.74</v>
      </c>
      <c r="E9" s="260">
        <f t="shared" ref="E9" si="0">E10</f>
        <v>961050</v>
      </c>
      <c r="F9" s="259">
        <f>F10</f>
        <v>1324848</v>
      </c>
      <c r="G9" s="259">
        <f>G10</f>
        <v>1343835.72</v>
      </c>
      <c r="H9" s="261">
        <f>H10</f>
        <v>1363108.2557999999</v>
      </c>
    </row>
    <row r="10" spans="1:8" ht="15.75" customHeight="1" thickBot="1" x14ac:dyDescent="0.3">
      <c r="A10" s="248">
        <v>6</v>
      </c>
      <c r="B10" s="249"/>
      <c r="C10" s="249" t="s">
        <v>7</v>
      </c>
      <c r="D10" s="250">
        <f>D11+D18+D21+D27+D17</f>
        <v>1124579.74</v>
      </c>
      <c r="E10" s="251">
        <f t="shared" ref="E10" si="1">E11+E18+E21+E27</f>
        <v>961050</v>
      </c>
      <c r="F10" s="250">
        <f>F11+F18+F21+F27</f>
        <v>1324848</v>
      </c>
      <c r="G10" s="250">
        <f>G11+G18+G21+G27</f>
        <v>1343835.72</v>
      </c>
      <c r="H10" s="252">
        <f>H11+H18+H21+H27</f>
        <v>1363108.2557999999</v>
      </c>
    </row>
    <row r="11" spans="1:8" ht="25.5" x14ac:dyDescent="0.25">
      <c r="A11" s="231"/>
      <c r="B11" s="218">
        <v>63</v>
      </c>
      <c r="C11" s="242" t="s">
        <v>26</v>
      </c>
      <c r="D11" s="243">
        <f>D12+D15</f>
        <v>934538.53</v>
      </c>
      <c r="E11" s="244">
        <f>E12+E15</f>
        <v>878100</v>
      </c>
      <c r="F11" s="243">
        <f>F12+F15</f>
        <v>1218741</v>
      </c>
      <c r="G11" s="243">
        <f>F11*1.015</f>
        <v>1237022.115</v>
      </c>
      <c r="H11" s="262">
        <f>G11*1.015</f>
        <v>1255577.4467249999</v>
      </c>
    </row>
    <row r="12" spans="1:8" x14ac:dyDescent="0.25">
      <c r="A12" s="62"/>
      <c r="B12" s="16">
        <v>636</v>
      </c>
      <c r="C12" s="16" t="s">
        <v>158</v>
      </c>
      <c r="D12" s="116">
        <f>D13+D14</f>
        <v>902513.43</v>
      </c>
      <c r="E12" s="122">
        <f>E13+E14</f>
        <v>842000</v>
      </c>
      <c r="F12" s="116">
        <f>F13+F14</f>
        <v>1168977</v>
      </c>
      <c r="G12" s="116"/>
      <c r="H12" s="233"/>
    </row>
    <row r="13" spans="1:8" ht="15" customHeight="1" x14ac:dyDescent="0.25">
      <c r="A13" s="62"/>
      <c r="B13" s="16">
        <v>6361</v>
      </c>
      <c r="C13" s="16" t="s">
        <v>159</v>
      </c>
      <c r="D13" s="116">
        <v>900721.91</v>
      </c>
      <c r="E13" s="122">
        <v>830000</v>
      </c>
      <c r="F13" s="116">
        <f>46840+1028885+2700+28100+882+24200+10000+500+1680+14100+4090</f>
        <v>1161977</v>
      </c>
      <c r="G13" s="116"/>
      <c r="H13" s="233"/>
    </row>
    <row r="14" spans="1:8" x14ac:dyDescent="0.25">
      <c r="A14" s="62"/>
      <c r="B14" s="16">
        <v>6362</v>
      </c>
      <c r="C14" s="16" t="s">
        <v>160</v>
      </c>
      <c r="D14" s="116">
        <v>1791.52</v>
      </c>
      <c r="E14" s="122">
        <v>12000</v>
      </c>
      <c r="F14" s="116">
        <v>7000</v>
      </c>
      <c r="G14" s="116"/>
      <c r="H14" s="233"/>
    </row>
    <row r="15" spans="1:8" x14ac:dyDescent="0.25">
      <c r="A15" s="62"/>
      <c r="B15" s="12">
        <v>638</v>
      </c>
      <c r="C15" s="18" t="s">
        <v>161</v>
      </c>
      <c r="D15" s="116">
        <f>D16</f>
        <v>32025.1</v>
      </c>
      <c r="E15" s="122">
        <f>E16</f>
        <v>36100</v>
      </c>
      <c r="F15" s="117">
        <f>F16</f>
        <v>49764</v>
      </c>
      <c r="G15" s="116"/>
      <c r="H15" s="233"/>
    </row>
    <row r="16" spans="1:8" x14ac:dyDescent="0.25">
      <c r="A16" s="62"/>
      <c r="B16" s="12">
        <v>6381</v>
      </c>
      <c r="C16" s="18" t="s">
        <v>162</v>
      </c>
      <c r="D16" s="116">
        <v>32025.1</v>
      </c>
      <c r="E16" s="122">
        <v>36100</v>
      </c>
      <c r="F16" s="117">
        <f>46704+3060</f>
        <v>49764</v>
      </c>
      <c r="G16" s="116"/>
      <c r="H16" s="233"/>
    </row>
    <row r="17" spans="1:8" x14ac:dyDescent="0.25">
      <c r="A17" s="183"/>
      <c r="B17" s="173">
        <v>64</v>
      </c>
      <c r="C17" s="174" t="s">
        <v>138</v>
      </c>
      <c r="D17" s="175">
        <v>17.14</v>
      </c>
      <c r="E17" s="176"/>
      <c r="F17" s="177">
        <v>30</v>
      </c>
      <c r="G17" s="178"/>
      <c r="H17" s="263"/>
    </row>
    <row r="18" spans="1:8" ht="25.5" x14ac:dyDescent="0.25">
      <c r="A18" s="264"/>
      <c r="B18" s="173">
        <v>65</v>
      </c>
      <c r="C18" s="179" t="s">
        <v>149</v>
      </c>
      <c r="D18" s="171">
        <f t="shared" ref="D18:F19" si="2">D19</f>
        <v>34177.26</v>
      </c>
      <c r="E18" s="172">
        <f t="shared" si="2"/>
        <v>25650</v>
      </c>
      <c r="F18" s="171">
        <f t="shared" si="2"/>
        <v>29982</v>
      </c>
      <c r="G18" s="171">
        <f>F18*1.015</f>
        <v>30431.729999999996</v>
      </c>
      <c r="H18" s="265">
        <f>G18*1.015</f>
        <v>30888.205949999992</v>
      </c>
    </row>
    <row r="19" spans="1:8" x14ac:dyDescent="0.25">
      <c r="A19" s="64"/>
      <c r="B19" s="28">
        <v>652</v>
      </c>
      <c r="C19" s="59" t="s">
        <v>163</v>
      </c>
      <c r="D19" s="116">
        <f t="shared" si="2"/>
        <v>34177.26</v>
      </c>
      <c r="E19" s="122">
        <f t="shared" si="2"/>
        <v>25650</v>
      </c>
      <c r="F19" s="116">
        <f t="shared" si="2"/>
        <v>29982</v>
      </c>
      <c r="G19" s="116"/>
      <c r="H19" s="233"/>
    </row>
    <row r="20" spans="1:8" x14ac:dyDescent="0.25">
      <c r="A20" s="64"/>
      <c r="B20" s="12">
        <v>6526</v>
      </c>
      <c r="C20" s="59" t="s">
        <v>130</v>
      </c>
      <c r="D20" s="116">
        <v>34177.26</v>
      </c>
      <c r="E20" s="122">
        <v>25650</v>
      </c>
      <c r="F20" s="116">
        <f>2000+14100+8000+900+3132+600+650+200+400</f>
        <v>29982</v>
      </c>
      <c r="G20" s="116"/>
      <c r="H20" s="233"/>
    </row>
    <row r="21" spans="1:8" ht="25.5" x14ac:dyDescent="0.25">
      <c r="A21" s="264"/>
      <c r="B21" s="173">
        <v>66</v>
      </c>
      <c r="C21" s="179" t="s">
        <v>150</v>
      </c>
      <c r="D21" s="171">
        <f>D22+D25</f>
        <v>8501.52</v>
      </c>
      <c r="E21" s="172">
        <f>E22+E25</f>
        <v>4000</v>
      </c>
      <c r="F21" s="171">
        <f>F22+F25</f>
        <v>7550</v>
      </c>
      <c r="G21" s="171">
        <f>F21*1.015</f>
        <v>7663.2499999999991</v>
      </c>
      <c r="H21" s="265">
        <f>G21*1.015</f>
        <v>7778.1987499999987</v>
      </c>
    </row>
    <row r="22" spans="1:8" x14ac:dyDescent="0.25">
      <c r="A22" s="64"/>
      <c r="B22" s="12">
        <v>661</v>
      </c>
      <c r="C22" s="59" t="s">
        <v>164</v>
      </c>
      <c r="D22" s="116">
        <f>D24</f>
        <v>4054.18</v>
      </c>
      <c r="E22" s="122">
        <f>E24</f>
        <v>2500</v>
      </c>
      <c r="F22" s="116">
        <f>F23+F24</f>
        <v>4550</v>
      </c>
      <c r="G22" s="116"/>
      <c r="H22" s="233"/>
    </row>
    <row r="23" spans="1:8" x14ac:dyDescent="0.25">
      <c r="A23" s="64"/>
      <c r="B23" s="12">
        <v>6614</v>
      </c>
      <c r="C23" s="59" t="s">
        <v>165</v>
      </c>
      <c r="D23" s="116"/>
      <c r="E23" s="122"/>
      <c r="F23" s="116">
        <v>550</v>
      </c>
      <c r="G23" s="116"/>
      <c r="H23" s="233"/>
    </row>
    <row r="24" spans="1:8" x14ac:dyDescent="0.25">
      <c r="A24" s="64"/>
      <c r="B24" s="12">
        <v>6615</v>
      </c>
      <c r="C24" s="59" t="s">
        <v>166</v>
      </c>
      <c r="D24" s="116">
        <v>4054.18</v>
      </c>
      <c r="E24" s="122">
        <v>2500</v>
      </c>
      <c r="F24" s="116">
        <v>4000</v>
      </c>
      <c r="G24" s="116"/>
      <c r="H24" s="233"/>
    </row>
    <row r="25" spans="1:8" x14ac:dyDescent="0.25">
      <c r="A25" s="64"/>
      <c r="B25" s="12">
        <v>663</v>
      </c>
      <c r="C25" s="59" t="s">
        <v>155</v>
      </c>
      <c r="D25" s="116">
        <f>D26</f>
        <v>4447.34</v>
      </c>
      <c r="E25" s="122">
        <f>E26</f>
        <v>1500</v>
      </c>
      <c r="F25" s="116">
        <f>F26</f>
        <v>3000</v>
      </c>
      <c r="G25" s="116"/>
      <c r="H25" s="233"/>
    </row>
    <row r="26" spans="1:8" x14ac:dyDescent="0.25">
      <c r="A26" s="64"/>
      <c r="B26" s="12">
        <v>6631</v>
      </c>
      <c r="C26" s="59" t="s">
        <v>131</v>
      </c>
      <c r="D26" s="116">
        <v>4447.34</v>
      </c>
      <c r="E26" s="122">
        <v>1500</v>
      </c>
      <c r="F26" s="116">
        <v>3000</v>
      </c>
      <c r="G26" s="116"/>
      <c r="H26" s="233"/>
    </row>
    <row r="27" spans="1:8" ht="25.5" x14ac:dyDescent="0.25">
      <c r="A27" s="264"/>
      <c r="B27" s="173">
        <v>67</v>
      </c>
      <c r="C27" s="170" t="s">
        <v>27</v>
      </c>
      <c r="D27" s="171">
        <f t="shared" ref="D27:F28" si="3">D28</f>
        <v>147345.29</v>
      </c>
      <c r="E27" s="172">
        <f t="shared" si="3"/>
        <v>53300</v>
      </c>
      <c r="F27" s="171">
        <f t="shared" si="3"/>
        <v>68575</v>
      </c>
      <c r="G27" s="171">
        <f>F27*1.015-885</f>
        <v>68718.625</v>
      </c>
      <c r="H27" s="265">
        <f>G27*1.015-885</f>
        <v>68864.404374999998</v>
      </c>
    </row>
    <row r="28" spans="1:8" ht="15" customHeight="1" x14ac:dyDescent="0.25">
      <c r="A28" s="64"/>
      <c r="B28" s="12">
        <v>671</v>
      </c>
      <c r="C28" s="119" t="s">
        <v>167</v>
      </c>
      <c r="D28" s="116">
        <f>D29+D30</f>
        <v>147345.29</v>
      </c>
      <c r="E28" s="122">
        <f t="shared" si="3"/>
        <v>53300</v>
      </c>
      <c r="F28" s="116">
        <f t="shared" si="3"/>
        <v>68575</v>
      </c>
      <c r="G28" s="116"/>
      <c r="H28" s="233"/>
    </row>
    <row r="29" spans="1:8" x14ac:dyDescent="0.25">
      <c r="A29" s="64"/>
      <c r="B29" s="12">
        <v>6711</v>
      </c>
      <c r="C29" s="16" t="s">
        <v>151</v>
      </c>
      <c r="D29" s="116">
        <v>57100.76</v>
      </c>
      <c r="E29" s="122">
        <v>53300</v>
      </c>
      <c r="F29" s="116">
        <f>4895+590+25000+25000+9000+4090</f>
        <v>68575</v>
      </c>
      <c r="G29" s="116"/>
      <c r="H29" s="233"/>
    </row>
    <row r="30" spans="1:8" ht="26.25" thickBot="1" x14ac:dyDescent="0.3">
      <c r="A30" s="266"/>
      <c r="B30" s="267">
        <v>6712</v>
      </c>
      <c r="C30" s="268" t="s">
        <v>152</v>
      </c>
      <c r="D30" s="269">
        <v>90244.53</v>
      </c>
      <c r="E30" s="270"/>
      <c r="F30" s="271"/>
      <c r="G30" s="271"/>
      <c r="H30" s="272"/>
    </row>
    <row r="31" spans="1:8" x14ac:dyDescent="0.25">
      <c r="D31" s="69"/>
      <c r="E31" s="69"/>
      <c r="F31" s="69"/>
    </row>
    <row r="32" spans="1:8" x14ac:dyDescent="0.25">
      <c r="A32" s="312" t="s">
        <v>38</v>
      </c>
      <c r="B32" s="322"/>
      <c r="C32" s="322"/>
      <c r="D32" s="322"/>
      <c r="E32" s="322"/>
      <c r="F32" s="322"/>
      <c r="G32" s="322"/>
      <c r="H32" s="322"/>
    </row>
    <row r="33" spans="1:9" ht="15.75" thickBot="1" x14ac:dyDescent="0.3">
      <c r="D33" s="69"/>
      <c r="E33" s="69"/>
      <c r="F33" s="69"/>
    </row>
    <row r="34" spans="1:9" ht="26.25" thickBot="1" x14ac:dyDescent="0.3">
      <c r="A34" s="223" t="s">
        <v>5</v>
      </c>
      <c r="B34" s="224" t="s">
        <v>6</v>
      </c>
      <c r="C34" s="224" t="s">
        <v>8</v>
      </c>
      <c r="D34" s="224" t="s">
        <v>134</v>
      </c>
      <c r="E34" s="224" t="s">
        <v>135</v>
      </c>
      <c r="F34" s="224" t="s">
        <v>136</v>
      </c>
      <c r="G34" s="224" t="s">
        <v>29</v>
      </c>
      <c r="H34" s="225" t="s">
        <v>137</v>
      </c>
    </row>
    <row r="35" spans="1:9" ht="15.75" thickBot="1" x14ac:dyDescent="0.3">
      <c r="A35" s="226"/>
      <c r="B35" s="227"/>
      <c r="C35" s="228" t="s">
        <v>1</v>
      </c>
      <c r="D35" s="229">
        <f>D36+D80</f>
        <v>1129264.24</v>
      </c>
      <c r="E35" s="229">
        <f>E36+E80</f>
        <v>961050</v>
      </c>
      <c r="F35" s="229">
        <f>F36+F80</f>
        <v>1324848</v>
      </c>
      <c r="G35" s="229">
        <f t="shared" ref="G35:H35" si="4">G36+G80</f>
        <v>1343835.72</v>
      </c>
      <c r="H35" s="230">
        <f t="shared" si="4"/>
        <v>1363108.2557999999</v>
      </c>
    </row>
    <row r="36" spans="1:9" ht="15.75" thickBot="1" x14ac:dyDescent="0.3">
      <c r="A36" s="220">
        <v>3</v>
      </c>
      <c r="B36" s="221"/>
      <c r="C36" s="221" t="s">
        <v>9</v>
      </c>
      <c r="D36" s="214">
        <f>D37+D46+D72+D76</f>
        <v>1030717.7100000001</v>
      </c>
      <c r="E36" s="214">
        <f>E37+E46+E72+E76</f>
        <v>948400</v>
      </c>
      <c r="F36" s="214">
        <f>F37+F46+F72+F76</f>
        <v>1314248</v>
      </c>
      <c r="G36" s="214">
        <f>G37+G46+G72+G76</f>
        <v>1333076.72</v>
      </c>
      <c r="H36" s="222">
        <f>H37+H46+H72+H76</f>
        <v>1352187.8707999999</v>
      </c>
    </row>
    <row r="37" spans="1:9" x14ac:dyDescent="0.25">
      <c r="A37" s="231"/>
      <c r="B37" s="218">
        <v>31</v>
      </c>
      <c r="C37" s="217" t="s">
        <v>10</v>
      </c>
      <c r="D37" s="219">
        <f>SUM(D44+D38+D42)</f>
        <v>868464.35000000009</v>
      </c>
      <c r="E37" s="219">
        <f>SUM(E44+E38+E42)</f>
        <v>814000</v>
      </c>
      <c r="F37" s="219">
        <f>SUM(F44+F38+F42)</f>
        <v>1148486</v>
      </c>
      <c r="G37" s="219">
        <f>SUM(G44+G38+G42)</f>
        <v>1165713.29</v>
      </c>
      <c r="H37" s="232">
        <f>SUM(H44+H38+H42)</f>
        <v>1183198.9893499997</v>
      </c>
    </row>
    <row r="38" spans="1:9" x14ac:dyDescent="0.25">
      <c r="A38" s="62"/>
      <c r="B38" s="16">
        <v>311</v>
      </c>
      <c r="C38" s="16" t="s">
        <v>66</v>
      </c>
      <c r="D38" s="116">
        <f>SUM(D39:D41)</f>
        <v>714568.52</v>
      </c>
      <c r="E38" s="116">
        <f t="shared" ref="E38:F38" si="5">SUM(E39:E41)</f>
        <v>667750</v>
      </c>
      <c r="F38" s="116">
        <f t="shared" si="5"/>
        <v>957438</v>
      </c>
      <c r="G38" s="116">
        <f>F38*1.015</f>
        <v>971799.57</v>
      </c>
      <c r="H38" s="233">
        <f>G38*1.015</f>
        <v>986376.56354999985</v>
      </c>
    </row>
    <row r="39" spans="1:9" s="83" customFormat="1" x14ac:dyDescent="0.25">
      <c r="A39" s="102"/>
      <c r="B39" s="19">
        <v>3111</v>
      </c>
      <c r="C39" s="19" t="s">
        <v>67</v>
      </c>
      <c r="D39" s="97">
        <v>689341.96</v>
      </c>
      <c r="E39" s="97">
        <f>2100+610000+7200+20000</f>
        <v>639300</v>
      </c>
      <c r="F39" s="97">
        <f>858000+10925+37128+4125+10925+3000+3000</f>
        <v>927103</v>
      </c>
      <c r="G39" s="97"/>
      <c r="H39" s="123"/>
    </row>
    <row r="40" spans="1:9" s="83" customFormat="1" x14ac:dyDescent="0.25">
      <c r="A40" s="102"/>
      <c r="B40" s="19">
        <v>3113</v>
      </c>
      <c r="C40" s="19" t="s">
        <v>68</v>
      </c>
      <c r="D40" s="97">
        <v>9351.1299999999992</v>
      </c>
      <c r="E40" s="97">
        <f>10000+730</f>
        <v>10730</v>
      </c>
      <c r="F40" s="97">
        <f>11521+720</f>
        <v>12241</v>
      </c>
      <c r="G40" s="97"/>
      <c r="H40" s="123"/>
    </row>
    <row r="41" spans="1:9" s="83" customFormat="1" x14ac:dyDescent="0.25">
      <c r="A41" s="102"/>
      <c r="B41" s="19">
        <v>3114</v>
      </c>
      <c r="C41" s="19" t="s">
        <v>69</v>
      </c>
      <c r="D41" s="97">
        <v>15875.43</v>
      </c>
      <c r="E41" s="97">
        <f>120+17000+600</f>
        <v>17720</v>
      </c>
      <c r="F41" s="97">
        <f>6216+11578+300</f>
        <v>18094</v>
      </c>
      <c r="G41" s="97"/>
      <c r="H41" s="123"/>
    </row>
    <row r="42" spans="1:9" x14ac:dyDescent="0.25">
      <c r="A42" s="62"/>
      <c r="B42" s="16">
        <v>312</v>
      </c>
      <c r="C42" s="16" t="s">
        <v>70</v>
      </c>
      <c r="D42" s="116">
        <f t="shared" ref="D42:F42" si="6">SUM(D43)</f>
        <v>37858.42</v>
      </c>
      <c r="E42" s="116">
        <f t="shared" si="6"/>
        <v>40000</v>
      </c>
      <c r="F42" s="116">
        <f t="shared" si="6"/>
        <v>36582</v>
      </c>
      <c r="G42" s="116">
        <f>F42*1.015</f>
        <v>37130.729999999996</v>
      </c>
      <c r="H42" s="233">
        <f>G42*1.015</f>
        <v>37687.690949999989</v>
      </c>
    </row>
    <row r="43" spans="1:9" s="83" customFormat="1" x14ac:dyDescent="0.25">
      <c r="A43" s="102"/>
      <c r="B43" s="19">
        <v>3121</v>
      </c>
      <c r="C43" s="19" t="s">
        <v>70</v>
      </c>
      <c r="D43" s="97">
        <v>37858.42</v>
      </c>
      <c r="E43" s="97">
        <f>700+30000+700+8600</f>
        <v>40000</v>
      </c>
      <c r="F43" s="97">
        <f>2700+5900+882+22200+50+150+200+1500+500+900+300+50+150+200+100+300+200+300</f>
        <v>36582</v>
      </c>
      <c r="G43" s="97"/>
      <c r="H43" s="123"/>
    </row>
    <row r="44" spans="1:9" x14ac:dyDescent="0.25">
      <c r="A44" s="62"/>
      <c r="B44" s="16">
        <v>313</v>
      </c>
      <c r="C44" s="16" t="s">
        <v>71</v>
      </c>
      <c r="D44" s="116">
        <f t="shared" ref="D44:F44" si="7">SUM(D45)</f>
        <v>116037.41</v>
      </c>
      <c r="E44" s="116">
        <f t="shared" si="7"/>
        <v>106250</v>
      </c>
      <c r="F44" s="116">
        <f t="shared" si="7"/>
        <v>154466</v>
      </c>
      <c r="G44" s="116">
        <f>F44*1.015</f>
        <v>156782.99</v>
      </c>
      <c r="H44" s="233">
        <f>G44*1.015</f>
        <v>159134.73484999998</v>
      </c>
    </row>
    <row r="45" spans="1:9" s="83" customFormat="1" x14ac:dyDescent="0.25">
      <c r="A45" s="102"/>
      <c r="B45" s="19">
        <v>3132</v>
      </c>
      <c r="C45" s="19" t="s">
        <v>72</v>
      </c>
      <c r="D45" s="97">
        <v>116037.41</v>
      </c>
      <c r="E45" s="97">
        <f>600+150+100000+1500+4000</f>
        <v>106250</v>
      </c>
      <c r="F45" s="97">
        <f>141570+2475+6126+680+2475+570+570</f>
        <v>154466</v>
      </c>
      <c r="G45" s="98"/>
      <c r="H45" s="99"/>
    </row>
    <row r="46" spans="1:9" x14ac:dyDescent="0.25">
      <c r="A46" s="184"/>
      <c r="B46" s="173">
        <v>32</v>
      </c>
      <c r="C46" s="185" t="s">
        <v>21</v>
      </c>
      <c r="D46" s="175">
        <f>D47+D52+D59+D67</f>
        <v>151224.54</v>
      </c>
      <c r="E46" s="175">
        <f>E47+E52+E59+E67</f>
        <v>133600</v>
      </c>
      <c r="F46" s="175">
        <f>F47+F52+F59+F67</f>
        <v>154262</v>
      </c>
      <c r="G46" s="175">
        <f>G47+G52+G59+G67</f>
        <v>155690.93</v>
      </c>
      <c r="H46" s="234">
        <f>H47+H52+H59+H67</f>
        <v>157141.29394999996</v>
      </c>
      <c r="I46" s="118"/>
    </row>
    <row r="47" spans="1:9" x14ac:dyDescent="0.25">
      <c r="A47" s="64"/>
      <c r="B47" s="12">
        <v>321</v>
      </c>
      <c r="C47" s="12" t="s">
        <v>74</v>
      </c>
      <c r="D47" s="116">
        <f>SUM(D48:D51)</f>
        <v>31176.149999999998</v>
      </c>
      <c r="E47" s="116">
        <f>SUM(E48:E51)</f>
        <v>29800</v>
      </c>
      <c r="F47" s="116">
        <f>SUM(F48:F51)</f>
        <v>30970</v>
      </c>
      <c r="G47" s="116">
        <f>F47*1.015</f>
        <v>31434.549999999996</v>
      </c>
      <c r="H47" s="233">
        <f>G47*1.015</f>
        <v>31906.068249999993</v>
      </c>
    </row>
    <row r="48" spans="1:9" s="83" customFormat="1" x14ac:dyDescent="0.25">
      <c r="A48" s="94"/>
      <c r="B48" s="13">
        <v>3211</v>
      </c>
      <c r="C48" s="13" t="s">
        <v>85</v>
      </c>
      <c r="D48" s="97">
        <v>3261.74</v>
      </c>
      <c r="E48" s="97">
        <f>3000+1000</f>
        <v>4000</v>
      </c>
      <c r="F48" s="97">
        <f>900+800+1300</f>
        <v>3000</v>
      </c>
      <c r="G48" s="97"/>
      <c r="H48" s="123"/>
    </row>
    <row r="49" spans="1:8" s="83" customFormat="1" x14ac:dyDescent="0.25">
      <c r="A49" s="94"/>
      <c r="B49" s="13">
        <v>3212</v>
      </c>
      <c r="C49" s="13" t="s">
        <v>75</v>
      </c>
      <c r="D49" s="100">
        <v>24012.11</v>
      </c>
      <c r="E49" s="97">
        <f>23000+100+1200</f>
        <v>24300</v>
      </c>
      <c r="F49" s="97">
        <f>24200+300+840+90+300+70+70</f>
        <v>25870</v>
      </c>
      <c r="G49" s="97"/>
      <c r="H49" s="123"/>
    </row>
    <row r="50" spans="1:8" s="83" customFormat="1" x14ac:dyDescent="0.25">
      <c r="A50" s="94"/>
      <c r="B50" s="13">
        <v>3213</v>
      </c>
      <c r="C50" s="13" t="s">
        <v>89</v>
      </c>
      <c r="D50" s="97">
        <v>540</v>
      </c>
      <c r="E50" s="97">
        <v>1000</v>
      </c>
      <c r="F50" s="97">
        <v>800</v>
      </c>
      <c r="G50" s="97"/>
      <c r="H50" s="123"/>
    </row>
    <row r="51" spans="1:8" s="83" customFormat="1" x14ac:dyDescent="0.25">
      <c r="A51" s="94"/>
      <c r="B51" s="13">
        <v>3214</v>
      </c>
      <c r="C51" s="18" t="s">
        <v>168</v>
      </c>
      <c r="D51" s="97">
        <v>3362.3</v>
      </c>
      <c r="E51" s="97">
        <v>500</v>
      </c>
      <c r="F51" s="97">
        <v>1300</v>
      </c>
      <c r="G51" s="97"/>
      <c r="H51" s="123"/>
    </row>
    <row r="52" spans="1:8" x14ac:dyDescent="0.25">
      <c r="A52" s="64"/>
      <c r="B52" s="12">
        <v>322</v>
      </c>
      <c r="C52" s="12" t="s">
        <v>110</v>
      </c>
      <c r="D52" s="116">
        <f>SUM(D53:D58)</f>
        <v>83140.77</v>
      </c>
      <c r="E52" s="116">
        <f>SUM(E53:E58)</f>
        <v>76700</v>
      </c>
      <c r="F52" s="116">
        <f>SUM(F53:F58)</f>
        <v>96717</v>
      </c>
      <c r="G52" s="116">
        <f>F52*1.015-885</f>
        <v>97282.75499999999</v>
      </c>
      <c r="H52" s="233">
        <f>G52*1.015-885</f>
        <v>97856.996324999986</v>
      </c>
    </row>
    <row r="53" spans="1:8" s="83" customFormat="1" x14ac:dyDescent="0.25">
      <c r="A53" s="94"/>
      <c r="B53" s="13">
        <v>3221</v>
      </c>
      <c r="C53" s="13" t="s">
        <v>169</v>
      </c>
      <c r="D53" s="97">
        <v>14728.54</v>
      </c>
      <c r="E53" s="97">
        <v>6000</v>
      </c>
      <c r="F53" s="97">
        <f>3132+3530+550+700+1000+200+235+970+3200+500</f>
        <v>14017</v>
      </c>
      <c r="G53" s="97"/>
      <c r="H53" s="123"/>
    </row>
    <row r="54" spans="1:8" s="83" customFormat="1" x14ac:dyDescent="0.25">
      <c r="A54" s="94"/>
      <c r="B54" s="13">
        <v>3222</v>
      </c>
      <c r="C54" s="13" t="s">
        <v>77</v>
      </c>
      <c r="D54" s="97">
        <v>45098.1</v>
      </c>
      <c r="E54" s="97">
        <f>100+39000+5000+2300+500</f>
        <v>46900</v>
      </c>
      <c r="F54" s="97">
        <f>2800+8500+6500+6000+4500+8000+1500+6500+2540+3060+2000</f>
        <v>51900</v>
      </c>
      <c r="G54" s="97"/>
      <c r="H54" s="123"/>
    </row>
    <row r="55" spans="1:8" s="83" customFormat="1" x14ac:dyDescent="0.25">
      <c r="A55" s="94"/>
      <c r="B55" s="13">
        <v>3223</v>
      </c>
      <c r="C55" s="18" t="s">
        <v>90</v>
      </c>
      <c r="D55" s="97">
        <v>16379.1</v>
      </c>
      <c r="E55" s="97">
        <v>20000</v>
      </c>
      <c r="F55" s="97">
        <f>9200+14000+300</f>
        <v>23500</v>
      </c>
      <c r="G55" s="97"/>
      <c r="H55" s="123"/>
    </row>
    <row r="56" spans="1:8" s="83" customFormat="1" x14ac:dyDescent="0.25">
      <c r="A56" s="94"/>
      <c r="B56" s="13">
        <v>3224</v>
      </c>
      <c r="C56" s="18" t="s">
        <v>170</v>
      </c>
      <c r="D56" s="97">
        <v>4978.99</v>
      </c>
      <c r="E56" s="97">
        <f>500+1000</f>
        <v>1500</v>
      </c>
      <c r="F56" s="97">
        <f>500+3500</f>
        <v>4000</v>
      </c>
      <c r="G56" s="97"/>
      <c r="H56" s="123"/>
    </row>
    <row r="57" spans="1:8" s="83" customFormat="1" x14ac:dyDescent="0.25">
      <c r="A57" s="94"/>
      <c r="B57" s="13">
        <v>3225</v>
      </c>
      <c r="C57" s="13" t="s">
        <v>78</v>
      </c>
      <c r="D57" s="97">
        <v>1758.9</v>
      </c>
      <c r="E57" s="97">
        <f>1500+500</f>
        <v>2000</v>
      </c>
      <c r="F57" s="97">
        <f>650+2350</f>
        <v>3000</v>
      </c>
      <c r="G57" s="97"/>
      <c r="H57" s="123"/>
    </row>
    <row r="58" spans="1:8" s="83" customFormat="1" x14ac:dyDescent="0.25">
      <c r="A58" s="94"/>
      <c r="B58" s="13">
        <v>3227</v>
      </c>
      <c r="C58" s="18" t="s">
        <v>180</v>
      </c>
      <c r="D58" s="97">
        <v>197.14</v>
      </c>
      <c r="E58" s="97">
        <v>300</v>
      </c>
      <c r="F58" s="97">
        <v>300</v>
      </c>
      <c r="G58" s="97"/>
      <c r="H58" s="123"/>
    </row>
    <row r="59" spans="1:8" x14ac:dyDescent="0.25">
      <c r="A59" s="64"/>
      <c r="B59" s="12">
        <v>323</v>
      </c>
      <c r="C59" s="12" t="s">
        <v>79</v>
      </c>
      <c r="D59" s="116">
        <f>SUM(D60:D66)+248.85</f>
        <v>20923.019999999997</v>
      </c>
      <c r="E59" s="116">
        <f>SUM(E60:E66)</f>
        <v>16500</v>
      </c>
      <c r="F59" s="116">
        <f>SUM(F60:F66)</f>
        <v>22545</v>
      </c>
      <c r="G59" s="116">
        <f>F59*1.015</f>
        <v>22883.174999999999</v>
      </c>
      <c r="H59" s="233">
        <f>G59*1.015</f>
        <v>23226.422624999996</v>
      </c>
    </row>
    <row r="60" spans="1:8" s="83" customFormat="1" x14ac:dyDescent="0.25">
      <c r="A60" s="94"/>
      <c r="B60" s="13">
        <v>3231</v>
      </c>
      <c r="C60" s="18" t="s">
        <v>124</v>
      </c>
      <c r="D60" s="97">
        <v>1642.51</v>
      </c>
      <c r="E60" s="97">
        <v>1800</v>
      </c>
      <c r="F60" s="97">
        <v>1310</v>
      </c>
      <c r="G60" s="97"/>
      <c r="H60" s="123"/>
    </row>
    <row r="61" spans="1:8" s="83" customFormat="1" x14ac:dyDescent="0.25">
      <c r="A61" s="94"/>
      <c r="B61" s="13">
        <v>3232</v>
      </c>
      <c r="C61" s="13" t="s">
        <v>171</v>
      </c>
      <c r="D61" s="97">
        <v>6198.27</v>
      </c>
      <c r="E61" s="97">
        <f>400+3000</f>
        <v>3400</v>
      </c>
      <c r="F61" s="97">
        <f>400+2500+3000</f>
        <v>5900</v>
      </c>
      <c r="G61" s="97"/>
      <c r="H61" s="123"/>
    </row>
    <row r="62" spans="1:8" s="83" customFormat="1" x14ac:dyDescent="0.25">
      <c r="A62" s="94"/>
      <c r="B62" s="13">
        <v>3234</v>
      </c>
      <c r="C62" s="13" t="s">
        <v>80</v>
      </c>
      <c r="D62" s="97">
        <v>5680.76</v>
      </c>
      <c r="E62" s="97">
        <f>500+3500</f>
        <v>4000</v>
      </c>
      <c r="F62" s="97">
        <f>1500+1300+250+450+1073</f>
        <v>4573</v>
      </c>
      <c r="G62" s="97"/>
      <c r="H62" s="123"/>
    </row>
    <row r="63" spans="1:8" s="83" customFormat="1" x14ac:dyDescent="0.25">
      <c r="A63" s="94"/>
      <c r="B63" s="13">
        <v>3236</v>
      </c>
      <c r="C63" s="13" t="s">
        <v>116</v>
      </c>
      <c r="D63" s="97">
        <v>3437.6</v>
      </c>
      <c r="E63" s="97">
        <v>2500</v>
      </c>
      <c r="F63" s="97">
        <f>65+350</f>
        <v>415</v>
      </c>
      <c r="G63" s="97"/>
      <c r="H63" s="123"/>
    </row>
    <row r="64" spans="1:8" s="83" customFormat="1" x14ac:dyDescent="0.25">
      <c r="A64" s="94"/>
      <c r="B64" s="13">
        <v>3237</v>
      </c>
      <c r="C64" s="13" t="s">
        <v>91</v>
      </c>
      <c r="D64" s="97">
        <v>1419.1</v>
      </c>
      <c r="E64" s="97">
        <v>300</v>
      </c>
      <c r="F64" s="97">
        <v>1000</v>
      </c>
      <c r="G64" s="97"/>
      <c r="H64" s="123"/>
    </row>
    <row r="65" spans="1:8" s="83" customFormat="1" x14ac:dyDescent="0.25">
      <c r="A65" s="94"/>
      <c r="B65" s="13">
        <v>3238</v>
      </c>
      <c r="C65" s="13" t="s">
        <v>92</v>
      </c>
      <c r="D65" s="97">
        <v>956.73</v>
      </c>
      <c r="E65" s="97">
        <v>1000</v>
      </c>
      <c r="F65" s="97">
        <f>855+30</f>
        <v>885</v>
      </c>
      <c r="G65" s="97"/>
      <c r="H65" s="123"/>
    </row>
    <row r="66" spans="1:8" s="83" customFormat="1" x14ac:dyDescent="0.25">
      <c r="A66" s="94"/>
      <c r="B66" s="13">
        <v>3239</v>
      </c>
      <c r="C66" s="13" t="s">
        <v>81</v>
      </c>
      <c r="D66" s="97">
        <v>1339.2</v>
      </c>
      <c r="E66" s="97">
        <f>2000+1000+500</f>
        <v>3500</v>
      </c>
      <c r="F66" s="97">
        <f>8000+462</f>
        <v>8462</v>
      </c>
      <c r="G66" s="97"/>
      <c r="H66" s="123"/>
    </row>
    <row r="67" spans="1:8" x14ac:dyDescent="0.25">
      <c r="A67" s="64"/>
      <c r="B67" s="12">
        <v>329</v>
      </c>
      <c r="C67" s="61" t="s">
        <v>172</v>
      </c>
      <c r="D67" s="116">
        <f>SUM(D68:D71)</f>
        <v>15984.6</v>
      </c>
      <c r="E67" s="116">
        <f>SUM(E68:E71)</f>
        <v>10600</v>
      </c>
      <c r="F67" s="116">
        <f>SUM(F68:F71)</f>
        <v>4030</v>
      </c>
      <c r="G67" s="116">
        <f>F67*1.015</f>
        <v>4090.45</v>
      </c>
      <c r="H67" s="233">
        <f>G67*1.015</f>
        <v>4151.8067499999997</v>
      </c>
    </row>
    <row r="68" spans="1:8" s="83" customFormat="1" x14ac:dyDescent="0.25">
      <c r="A68" s="94"/>
      <c r="B68" s="13">
        <v>3291</v>
      </c>
      <c r="C68" s="18" t="s">
        <v>173</v>
      </c>
      <c r="D68" s="97">
        <v>389.66</v>
      </c>
      <c r="E68" s="97">
        <v>0</v>
      </c>
      <c r="F68" s="97">
        <v>400</v>
      </c>
      <c r="G68" s="95"/>
      <c r="H68" s="124"/>
    </row>
    <row r="69" spans="1:8" s="83" customFormat="1" x14ac:dyDescent="0.25">
      <c r="A69" s="94"/>
      <c r="B69" s="13">
        <v>3294</v>
      </c>
      <c r="C69" s="13" t="s">
        <v>93</v>
      </c>
      <c r="D69" s="97">
        <v>163.09</v>
      </c>
      <c r="E69" s="97">
        <v>300</v>
      </c>
      <c r="F69" s="97">
        <v>200</v>
      </c>
      <c r="G69" s="98"/>
      <c r="H69" s="99"/>
    </row>
    <row r="70" spans="1:8" s="83" customFormat="1" x14ac:dyDescent="0.25">
      <c r="A70" s="94"/>
      <c r="B70" s="13">
        <v>3295</v>
      </c>
      <c r="C70" s="13" t="s">
        <v>94</v>
      </c>
      <c r="D70" s="97">
        <v>2394.31</v>
      </c>
      <c r="E70" s="97">
        <v>100</v>
      </c>
      <c r="F70" s="97">
        <f>1680+150</f>
        <v>1830</v>
      </c>
      <c r="G70" s="98"/>
      <c r="H70" s="99"/>
    </row>
    <row r="71" spans="1:8" s="83" customFormat="1" x14ac:dyDescent="0.25">
      <c r="A71" s="94"/>
      <c r="B71" s="13">
        <v>3299</v>
      </c>
      <c r="C71" s="18" t="s">
        <v>172</v>
      </c>
      <c r="D71" s="97">
        <v>13037.54</v>
      </c>
      <c r="E71" s="97">
        <f>7000+3200</f>
        <v>10200</v>
      </c>
      <c r="F71" s="97">
        <f>900+200+500</f>
        <v>1600</v>
      </c>
      <c r="G71" s="98"/>
      <c r="H71" s="99"/>
    </row>
    <row r="72" spans="1:8" x14ac:dyDescent="0.25">
      <c r="A72" s="184"/>
      <c r="B72" s="173">
        <v>34</v>
      </c>
      <c r="C72" s="185" t="s">
        <v>65</v>
      </c>
      <c r="D72" s="175">
        <f>SUM(D73)</f>
        <v>938.13</v>
      </c>
      <c r="E72" s="175">
        <f t="shared" ref="E72:H72" si="8">SUM(E73)</f>
        <v>800</v>
      </c>
      <c r="F72" s="175">
        <f>SUM(F73)</f>
        <v>1000</v>
      </c>
      <c r="G72" s="193">
        <f>SUM(G73)</f>
        <v>1014.9999999999999</v>
      </c>
      <c r="H72" s="235">
        <f t="shared" si="8"/>
        <v>1030.2249999999997</v>
      </c>
    </row>
    <row r="73" spans="1:8" x14ac:dyDescent="0.25">
      <c r="A73" s="64"/>
      <c r="B73" s="12">
        <v>343</v>
      </c>
      <c r="C73" s="12" t="s">
        <v>96</v>
      </c>
      <c r="D73" s="116">
        <f>D74+D75</f>
        <v>938.13</v>
      </c>
      <c r="E73" s="116">
        <f>E74+E75</f>
        <v>800</v>
      </c>
      <c r="F73" s="116">
        <f>F74+F75</f>
        <v>1000</v>
      </c>
      <c r="G73" s="116">
        <f>F73*1.015</f>
        <v>1014.9999999999999</v>
      </c>
      <c r="H73" s="233">
        <f>G73*1.015</f>
        <v>1030.2249999999997</v>
      </c>
    </row>
    <row r="74" spans="1:8" s="83" customFormat="1" x14ac:dyDescent="0.25">
      <c r="A74" s="94"/>
      <c r="B74" s="13">
        <v>3431</v>
      </c>
      <c r="C74" s="18" t="s">
        <v>174</v>
      </c>
      <c r="D74" s="97">
        <v>936</v>
      </c>
      <c r="E74" s="97">
        <v>800</v>
      </c>
      <c r="F74" s="97">
        <v>1000</v>
      </c>
      <c r="G74" s="97"/>
      <c r="H74" s="123"/>
    </row>
    <row r="75" spans="1:8" s="83" customFormat="1" x14ac:dyDescent="0.25">
      <c r="A75" s="94"/>
      <c r="B75" s="13">
        <v>3433</v>
      </c>
      <c r="C75" s="13" t="s">
        <v>82</v>
      </c>
      <c r="D75" s="97">
        <v>2.13</v>
      </c>
      <c r="E75" s="97">
        <v>0</v>
      </c>
      <c r="F75" s="97">
        <v>0</v>
      </c>
      <c r="G75" s="100"/>
      <c r="H75" s="101"/>
    </row>
    <row r="76" spans="1:8" ht="25.5" x14ac:dyDescent="0.25">
      <c r="A76" s="184"/>
      <c r="B76" s="173">
        <v>37</v>
      </c>
      <c r="C76" s="186" t="s">
        <v>97</v>
      </c>
      <c r="D76" s="175">
        <f>SUM(D77)</f>
        <v>10090.69</v>
      </c>
      <c r="E76" s="175">
        <f>SUM(E77)</f>
        <v>0</v>
      </c>
      <c r="F76" s="175">
        <f>SUM(F77)</f>
        <v>10500</v>
      </c>
      <c r="G76" s="193">
        <f t="shared" ref="G76:H76" si="9">SUM(G77)</f>
        <v>10657.499999999998</v>
      </c>
      <c r="H76" s="235">
        <f t="shared" si="9"/>
        <v>10817.362499999997</v>
      </c>
    </row>
    <row r="77" spans="1:8" ht="15" customHeight="1" x14ac:dyDescent="0.25">
      <c r="A77" s="64"/>
      <c r="B77" s="12">
        <v>372</v>
      </c>
      <c r="C77" s="67" t="s">
        <v>179</v>
      </c>
      <c r="D77" s="116">
        <f>SUM(D78)</f>
        <v>10090.69</v>
      </c>
      <c r="E77" s="116">
        <f>SUM(E78:E79)</f>
        <v>0</v>
      </c>
      <c r="F77" s="116">
        <f>SUM(F78:F79)</f>
        <v>10500</v>
      </c>
      <c r="G77" s="194">
        <f>F77*1.015</f>
        <v>10657.499999999998</v>
      </c>
      <c r="H77" s="236">
        <f>G77*1.015</f>
        <v>10817.362499999997</v>
      </c>
    </row>
    <row r="78" spans="1:8" s="83" customFormat="1" x14ac:dyDescent="0.25">
      <c r="A78" s="94"/>
      <c r="B78" s="13">
        <v>3722</v>
      </c>
      <c r="C78" s="18" t="s">
        <v>83</v>
      </c>
      <c r="D78" s="97">
        <v>10090.69</v>
      </c>
      <c r="E78" s="97">
        <v>0</v>
      </c>
      <c r="F78" s="97">
        <v>10000</v>
      </c>
      <c r="G78" s="98"/>
      <c r="H78" s="99"/>
    </row>
    <row r="79" spans="1:8" s="83" customFormat="1" ht="15.75" thickBot="1" x14ac:dyDescent="0.3">
      <c r="A79" s="237"/>
      <c r="B79" s="238">
        <v>38129</v>
      </c>
      <c r="C79" s="239" t="s">
        <v>175</v>
      </c>
      <c r="D79" s="148">
        <v>0</v>
      </c>
      <c r="E79" s="148">
        <v>0</v>
      </c>
      <c r="F79" s="148">
        <v>500</v>
      </c>
      <c r="G79" s="240"/>
      <c r="H79" s="241"/>
    </row>
    <row r="80" spans="1:8" s="89" customFormat="1" ht="15.75" thickBot="1" x14ac:dyDescent="0.3">
      <c r="A80" s="211">
        <v>4</v>
      </c>
      <c r="B80" s="212"/>
      <c r="C80" s="213" t="s">
        <v>145</v>
      </c>
      <c r="D80" s="214">
        <f>SUM(D81+D87)</f>
        <v>98546.53</v>
      </c>
      <c r="E80" s="214">
        <f t="shared" ref="E80:H80" si="10">SUM(E81)</f>
        <v>12650</v>
      </c>
      <c r="F80" s="214">
        <f t="shared" si="10"/>
        <v>10600</v>
      </c>
      <c r="G80" s="215">
        <f t="shared" si="10"/>
        <v>10758.999999999998</v>
      </c>
      <c r="H80" s="216">
        <f t="shared" si="10"/>
        <v>10920.384999999998</v>
      </c>
    </row>
    <row r="81" spans="1:8" x14ac:dyDescent="0.25">
      <c r="A81" s="206"/>
      <c r="B81" s="207">
        <v>42</v>
      </c>
      <c r="C81" s="208" t="s">
        <v>178</v>
      </c>
      <c r="D81" s="209">
        <f>SUM(D82)+D85</f>
        <v>8302</v>
      </c>
      <c r="E81" s="209">
        <f>E82+E85</f>
        <v>12650</v>
      </c>
      <c r="F81" s="209">
        <f>F82+F85</f>
        <v>10600</v>
      </c>
      <c r="G81" s="209">
        <f t="shared" ref="G81:H81" si="11">G82+G85</f>
        <v>10758.999999999998</v>
      </c>
      <c r="H81" s="210">
        <f t="shared" si="11"/>
        <v>10920.384999999998</v>
      </c>
    </row>
    <row r="82" spans="1:8" x14ac:dyDescent="0.25">
      <c r="A82" s="65"/>
      <c r="B82" s="190">
        <v>422</v>
      </c>
      <c r="C82" s="66" t="s">
        <v>86</v>
      </c>
      <c r="D82" s="106">
        <f>SUM(D83:D84)</f>
        <v>4642.6899999999996</v>
      </c>
      <c r="E82" s="106">
        <f>SUM(E83:E84)</f>
        <v>0</v>
      </c>
      <c r="F82" s="106">
        <f>SUM(F83:F84)</f>
        <v>3000</v>
      </c>
      <c r="G82" s="106">
        <f>F82*1.015</f>
        <v>3044.9999999999995</v>
      </c>
      <c r="H82" s="108">
        <f>G82*1.015</f>
        <v>3090.6749999999993</v>
      </c>
    </row>
    <row r="83" spans="1:8" s="83" customFormat="1" x14ac:dyDescent="0.25">
      <c r="A83" s="103"/>
      <c r="B83" s="191">
        <v>4221</v>
      </c>
      <c r="C83" s="105" t="s">
        <v>87</v>
      </c>
      <c r="D83" s="109">
        <v>4273.6899999999996</v>
      </c>
      <c r="E83" s="109">
        <v>0</v>
      </c>
      <c r="F83" s="109">
        <v>3000</v>
      </c>
      <c r="G83" s="111"/>
      <c r="H83" s="112"/>
    </row>
    <row r="84" spans="1:8" s="83" customFormat="1" x14ac:dyDescent="0.25">
      <c r="A84" s="103"/>
      <c r="B84" s="191">
        <v>4227</v>
      </c>
      <c r="C84" s="105" t="s">
        <v>176</v>
      </c>
      <c r="D84" s="109">
        <v>369</v>
      </c>
      <c r="E84" s="109">
        <v>0</v>
      </c>
      <c r="F84" s="109">
        <v>0</v>
      </c>
      <c r="G84" s="111"/>
      <c r="H84" s="112"/>
    </row>
    <row r="85" spans="1:8" x14ac:dyDescent="0.25">
      <c r="A85" s="65"/>
      <c r="B85" s="190">
        <v>424</v>
      </c>
      <c r="C85" s="66" t="s">
        <v>177</v>
      </c>
      <c r="D85" s="106">
        <f>SUM(D86)</f>
        <v>3659.31</v>
      </c>
      <c r="E85" s="106">
        <f t="shared" ref="E85:F85" si="12">SUM(E86)</f>
        <v>12650</v>
      </c>
      <c r="F85" s="106">
        <f t="shared" si="12"/>
        <v>7600</v>
      </c>
      <c r="G85" s="107">
        <f>F85*1.015</f>
        <v>7713.9999999999991</v>
      </c>
      <c r="H85" s="108">
        <f>G85*1.015</f>
        <v>7829.7099999999982</v>
      </c>
    </row>
    <row r="86" spans="1:8" s="83" customFormat="1" x14ac:dyDescent="0.25">
      <c r="A86" s="103"/>
      <c r="B86" s="191">
        <v>4241</v>
      </c>
      <c r="C86" s="104" t="s">
        <v>84</v>
      </c>
      <c r="D86" s="109">
        <v>3659.31</v>
      </c>
      <c r="E86" s="109">
        <f>12000+650</f>
        <v>12650</v>
      </c>
      <c r="F86" s="109">
        <f>7000+600</f>
        <v>7600</v>
      </c>
      <c r="G86" s="110"/>
      <c r="H86" s="113"/>
    </row>
    <row r="87" spans="1:8" x14ac:dyDescent="0.25">
      <c r="A87" s="187"/>
      <c r="B87" s="192">
        <v>45</v>
      </c>
      <c r="C87" s="188" t="s">
        <v>154</v>
      </c>
      <c r="D87" s="189">
        <f>D88</f>
        <v>90244.53</v>
      </c>
      <c r="E87" s="189">
        <f>E88</f>
        <v>0</v>
      </c>
      <c r="F87" s="189">
        <f>F88</f>
        <v>0</v>
      </c>
      <c r="G87" s="189">
        <f t="shared" ref="G87:H87" si="13">G88</f>
        <v>0</v>
      </c>
      <c r="H87" s="198">
        <f t="shared" si="13"/>
        <v>0</v>
      </c>
    </row>
    <row r="88" spans="1:8" x14ac:dyDescent="0.25">
      <c r="A88" s="199"/>
      <c r="B88" s="195">
        <v>451</v>
      </c>
      <c r="C88" s="196" t="s">
        <v>153</v>
      </c>
      <c r="D88" s="197">
        <f>D89</f>
        <v>90244.53</v>
      </c>
      <c r="E88" s="197">
        <v>0</v>
      </c>
      <c r="F88" s="197">
        <v>0</v>
      </c>
      <c r="G88" s="197">
        <v>0</v>
      </c>
      <c r="H88" s="200">
        <v>0</v>
      </c>
    </row>
    <row r="89" spans="1:8" s="83" customFormat="1" ht="15.75" thickBot="1" x14ac:dyDescent="0.3">
      <c r="A89" s="201"/>
      <c r="B89" s="202">
        <v>4511</v>
      </c>
      <c r="C89" s="203" t="s">
        <v>153</v>
      </c>
      <c r="D89" s="204">
        <v>90244.53</v>
      </c>
      <c r="E89" s="204">
        <v>0</v>
      </c>
      <c r="F89" s="204">
        <v>0</v>
      </c>
      <c r="G89" s="204">
        <v>0</v>
      </c>
      <c r="H89" s="205">
        <v>0</v>
      </c>
    </row>
    <row r="91" spans="1:8" x14ac:dyDescent="0.25">
      <c r="D91" s="73"/>
    </row>
  </sheetData>
  <mergeCells count="6">
    <mergeCell ref="A32:H32"/>
    <mergeCell ref="A1:H1"/>
    <mergeCell ref="A3:H3"/>
    <mergeCell ref="A5:H5"/>
    <mergeCell ref="A6:H6"/>
    <mergeCell ref="D2:F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ignoredErrors>
    <ignoredError sqref="F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0"/>
  <sheetViews>
    <sheetView zoomScale="80" zoomScaleNormal="80" workbookViewId="0">
      <selection sqref="A1:F1"/>
    </sheetView>
  </sheetViews>
  <sheetFormatPr defaultRowHeight="15" x14ac:dyDescent="0.25"/>
  <cols>
    <col min="1" max="6" width="25.28515625" customWidth="1"/>
  </cols>
  <sheetData>
    <row r="1" spans="1:9" ht="42" customHeight="1" x14ac:dyDescent="0.25">
      <c r="A1" s="312" t="s">
        <v>148</v>
      </c>
      <c r="B1" s="312"/>
      <c r="C1" s="312"/>
      <c r="D1" s="312"/>
      <c r="E1" s="312"/>
      <c r="F1" s="312"/>
    </row>
    <row r="2" spans="1:9" ht="18" customHeight="1" x14ac:dyDescent="0.25">
      <c r="A2" s="25"/>
      <c r="B2" s="25"/>
      <c r="C2" s="323" t="s">
        <v>144</v>
      </c>
      <c r="D2" s="323"/>
      <c r="E2" s="25"/>
      <c r="F2" s="25"/>
    </row>
    <row r="3" spans="1:9" ht="15.75" customHeight="1" x14ac:dyDescent="0.25">
      <c r="A3" s="312" t="s">
        <v>18</v>
      </c>
      <c r="B3" s="312"/>
      <c r="C3" s="312"/>
      <c r="D3" s="312"/>
      <c r="E3" s="312"/>
      <c r="F3" s="312"/>
    </row>
    <row r="4" spans="1:9" ht="18" x14ac:dyDescent="0.25">
      <c r="B4" s="25"/>
      <c r="C4" s="25"/>
      <c r="D4" s="25"/>
      <c r="E4" s="5"/>
      <c r="F4" s="5"/>
    </row>
    <row r="5" spans="1:9" ht="18" customHeight="1" x14ac:dyDescent="0.25">
      <c r="A5" s="312" t="s">
        <v>4</v>
      </c>
      <c r="B5" s="312"/>
      <c r="C5" s="312"/>
      <c r="D5" s="312"/>
      <c r="E5" s="312"/>
      <c r="F5" s="312"/>
    </row>
    <row r="6" spans="1:9" ht="18" x14ac:dyDescent="0.25">
      <c r="A6" s="25"/>
      <c r="B6" s="25"/>
      <c r="C6" s="25"/>
      <c r="D6" s="25"/>
      <c r="E6" s="5"/>
      <c r="F6" s="5"/>
    </row>
    <row r="7" spans="1:9" ht="15.75" customHeight="1" x14ac:dyDescent="0.25">
      <c r="A7" s="312" t="s">
        <v>39</v>
      </c>
      <c r="B7" s="312"/>
      <c r="C7" s="312"/>
      <c r="D7" s="312"/>
      <c r="E7" s="312"/>
      <c r="F7" s="312"/>
    </row>
    <row r="8" spans="1:9" ht="18" x14ac:dyDescent="0.25">
      <c r="A8" s="25"/>
      <c r="B8" s="152"/>
      <c r="C8" s="152"/>
      <c r="D8" s="25"/>
      <c r="E8" s="5"/>
      <c r="F8" s="5"/>
    </row>
    <row r="9" spans="1:9" ht="25.5" x14ac:dyDescent="0.25">
      <c r="A9" s="21" t="s">
        <v>41</v>
      </c>
      <c r="B9" s="155" t="s">
        <v>134</v>
      </c>
      <c r="C9" s="159" t="s">
        <v>135</v>
      </c>
      <c r="D9" s="21" t="s">
        <v>136</v>
      </c>
      <c r="E9" s="21" t="s">
        <v>29</v>
      </c>
      <c r="F9" s="21" t="s">
        <v>137</v>
      </c>
    </row>
    <row r="10" spans="1:9" x14ac:dyDescent="0.25">
      <c r="A10" s="39" t="s">
        <v>0</v>
      </c>
      <c r="B10" s="78">
        <f>B11+B13+B15+B17+B20+17.14</f>
        <v>1124579.74</v>
      </c>
      <c r="C10" s="130">
        <f>C11+C13+C15+C17+1500</f>
        <v>961050</v>
      </c>
      <c r="D10" s="130">
        <f>D11+D13+D15+D17+D20</f>
        <v>1324848</v>
      </c>
      <c r="E10" s="82">
        <f>E11+E13+E15+E17+E20</f>
        <v>1343835.7199999997</v>
      </c>
      <c r="F10" s="82">
        <f>F11+F13+F15+F17+F20</f>
        <v>1363108.2557999997</v>
      </c>
      <c r="I10" s="72"/>
    </row>
    <row r="11" spans="1:9" x14ac:dyDescent="0.25">
      <c r="A11" s="26" t="s">
        <v>46</v>
      </c>
      <c r="B11" s="130">
        <f>B12</f>
        <v>147345.28999999998</v>
      </c>
      <c r="C11" s="130">
        <f>C12</f>
        <v>53300</v>
      </c>
      <c r="D11" s="130">
        <f>D12</f>
        <v>68575</v>
      </c>
      <c r="E11" s="82">
        <f>E12</f>
        <v>68718.625</v>
      </c>
      <c r="F11" s="82">
        <f>F12</f>
        <v>68864.404374999998</v>
      </c>
      <c r="H11" s="131"/>
    </row>
    <row r="12" spans="1:9" x14ac:dyDescent="0.25">
      <c r="A12" s="13" t="s">
        <v>47</v>
      </c>
      <c r="B12" s="116">
        <f>144072.71+3272.58</f>
        <v>147345.28999999998</v>
      </c>
      <c r="C12" s="116">
        <f>3500+49800</f>
        <v>53300</v>
      </c>
      <c r="D12" s="116">
        <v>68575</v>
      </c>
      <c r="E12" s="122">
        <f>D12*1.015-885</f>
        <v>68718.625</v>
      </c>
      <c r="F12" s="122">
        <f>E12*1.015-885</f>
        <v>68864.404374999998</v>
      </c>
    </row>
    <row r="13" spans="1:9" x14ac:dyDescent="0.25">
      <c r="A13" s="26" t="s">
        <v>100</v>
      </c>
      <c r="B13" s="129">
        <f>B14</f>
        <v>4054.18</v>
      </c>
      <c r="C13" s="129">
        <f>C14</f>
        <v>2500</v>
      </c>
      <c r="D13" s="129">
        <f>D14</f>
        <v>4550</v>
      </c>
      <c r="E13" s="132">
        <f>E14</f>
        <v>4618.25</v>
      </c>
      <c r="F13" s="132">
        <f>F14</f>
        <v>4687.5237499999994</v>
      </c>
    </row>
    <row r="14" spans="1:9" x14ac:dyDescent="0.25">
      <c r="A14" s="27" t="s">
        <v>99</v>
      </c>
      <c r="B14" s="77">
        <v>4054.18</v>
      </c>
      <c r="C14" s="116">
        <v>2500</v>
      </c>
      <c r="D14" s="116">
        <v>4550</v>
      </c>
      <c r="E14" s="122">
        <f>D14*1.015</f>
        <v>4618.25</v>
      </c>
      <c r="F14" s="122">
        <f>E14*1.015</f>
        <v>4687.5237499999994</v>
      </c>
    </row>
    <row r="15" spans="1:9" ht="25.5" x14ac:dyDescent="0.25">
      <c r="A15" s="11" t="s">
        <v>44</v>
      </c>
      <c r="B15" s="79">
        <f>B16</f>
        <v>34177.26</v>
      </c>
      <c r="C15" s="129">
        <f>C16</f>
        <v>25650</v>
      </c>
      <c r="D15" s="129">
        <f>D16</f>
        <v>29982</v>
      </c>
      <c r="E15" s="132">
        <f>E16</f>
        <v>30431.729999999996</v>
      </c>
      <c r="F15" s="132">
        <f>F16</f>
        <v>30888.205949999992</v>
      </c>
    </row>
    <row r="16" spans="1:9" ht="25.5" x14ac:dyDescent="0.25">
      <c r="A16" s="18" t="s">
        <v>45</v>
      </c>
      <c r="B16" s="77">
        <v>34177.26</v>
      </c>
      <c r="C16" s="116">
        <v>25650</v>
      </c>
      <c r="D16" s="116">
        <v>29982</v>
      </c>
      <c r="E16" s="122">
        <f>D16*1.015</f>
        <v>30431.729999999996</v>
      </c>
      <c r="F16" s="122">
        <f>E16*1.015</f>
        <v>30888.205949999992</v>
      </c>
    </row>
    <row r="17" spans="1:6" x14ac:dyDescent="0.25">
      <c r="A17" s="39" t="s">
        <v>42</v>
      </c>
      <c r="B17" s="79">
        <f>B18+B19</f>
        <v>934538.53</v>
      </c>
      <c r="C17" s="129">
        <f>C18+C19</f>
        <v>878100</v>
      </c>
      <c r="D17" s="129">
        <f>D18+D19</f>
        <v>1218741</v>
      </c>
      <c r="E17" s="132">
        <f>E18+E19</f>
        <v>1237022.1149999998</v>
      </c>
      <c r="F17" s="132">
        <f>F18+F19</f>
        <v>1255577.4467249997</v>
      </c>
    </row>
    <row r="18" spans="1:6" x14ac:dyDescent="0.25">
      <c r="A18" s="13" t="s">
        <v>98</v>
      </c>
      <c r="B18" s="77">
        <v>32327.040000000001</v>
      </c>
      <c r="C18" s="116">
        <v>36100</v>
      </c>
      <c r="D18" s="117">
        <v>49764</v>
      </c>
      <c r="E18" s="122">
        <f>D18*1.015</f>
        <v>50510.459999999992</v>
      </c>
      <c r="F18" s="133">
        <f>E18*1.015</f>
        <v>51268.116899999986</v>
      </c>
    </row>
    <row r="19" spans="1:6" x14ac:dyDescent="0.25">
      <c r="A19" s="13" t="s">
        <v>43</v>
      </c>
      <c r="B19" s="77">
        <v>902211.49</v>
      </c>
      <c r="C19" s="116">
        <v>842000</v>
      </c>
      <c r="D19" s="116">
        <v>1168977</v>
      </c>
      <c r="E19" s="122">
        <f>D19*1.015</f>
        <v>1186511.6549999998</v>
      </c>
      <c r="F19" s="133">
        <f>E19*1.015</f>
        <v>1204309.3298249997</v>
      </c>
    </row>
    <row r="20" spans="1:6" x14ac:dyDescent="0.25">
      <c r="A20" s="71" t="s">
        <v>133</v>
      </c>
      <c r="B20" s="79">
        <f>B21</f>
        <v>4447.34</v>
      </c>
      <c r="C20" s="79">
        <f>C21</f>
        <v>1500</v>
      </c>
      <c r="D20" s="129">
        <f>D21</f>
        <v>3000</v>
      </c>
      <c r="E20" s="132">
        <f>E21</f>
        <v>3044.9999999999995</v>
      </c>
      <c r="F20" s="132">
        <f t="shared" ref="F20" si="0">F21</f>
        <v>3090.6749999999993</v>
      </c>
    </row>
    <row r="21" spans="1:6" x14ac:dyDescent="0.25">
      <c r="A21" s="13" t="s">
        <v>132</v>
      </c>
      <c r="B21" s="116">
        <v>4447.34</v>
      </c>
      <c r="C21" s="116">
        <v>1500</v>
      </c>
      <c r="D21" s="116">
        <v>3000</v>
      </c>
      <c r="E21" s="122">
        <f>D21*1.015</f>
        <v>3044.9999999999995</v>
      </c>
      <c r="F21" s="133">
        <f>E21*1.015</f>
        <v>3090.6749999999993</v>
      </c>
    </row>
    <row r="22" spans="1:6" ht="15.75" customHeight="1" x14ac:dyDescent="0.25"/>
    <row r="23" spans="1:6" ht="15.75" x14ac:dyDescent="0.25">
      <c r="A23" s="312" t="s">
        <v>40</v>
      </c>
      <c r="B23" s="312"/>
      <c r="C23" s="312"/>
      <c r="D23" s="312"/>
      <c r="E23" s="312"/>
      <c r="F23" s="312"/>
    </row>
    <row r="24" spans="1:6" ht="18" x14ac:dyDescent="0.25">
      <c r="A24" s="25"/>
      <c r="B24" s="25"/>
      <c r="C24" s="25"/>
      <c r="D24" s="25"/>
      <c r="E24" s="5"/>
      <c r="F24" s="5"/>
    </row>
    <row r="25" spans="1:6" ht="25.5" x14ac:dyDescent="0.25">
      <c r="A25" s="21" t="s">
        <v>41</v>
      </c>
      <c r="B25" s="155" t="s">
        <v>134</v>
      </c>
      <c r="C25" s="159" t="s">
        <v>135</v>
      </c>
      <c r="D25" s="159" t="s">
        <v>136</v>
      </c>
      <c r="E25" s="159" t="s">
        <v>29</v>
      </c>
      <c r="F25" s="159" t="s">
        <v>137</v>
      </c>
    </row>
    <row r="26" spans="1:6" ht="15.75" customHeight="1" x14ac:dyDescent="0.25">
      <c r="A26" s="39" t="s">
        <v>1</v>
      </c>
      <c r="B26" s="130">
        <f>B27+B29+B31+B33+B36</f>
        <v>1129264.24</v>
      </c>
      <c r="C26" s="130">
        <f>C27+C29+C31+C33+C36</f>
        <v>961050</v>
      </c>
      <c r="D26" s="130">
        <f>D27+D29+D31+D33+D36</f>
        <v>1324848</v>
      </c>
      <c r="E26" s="130">
        <f>E27+E29+E31+E33+E36</f>
        <v>1343835.7199999997</v>
      </c>
      <c r="F26" s="130">
        <f>F27+F29+F31+F33+F36</f>
        <v>1363108.2557999997</v>
      </c>
    </row>
    <row r="27" spans="1:6" x14ac:dyDescent="0.25">
      <c r="A27" s="26" t="s">
        <v>46</v>
      </c>
      <c r="B27" s="129">
        <f>B28</f>
        <v>147155.69</v>
      </c>
      <c r="C27" s="129">
        <f>C28</f>
        <v>53300</v>
      </c>
      <c r="D27" s="129">
        <f>D28</f>
        <v>68575</v>
      </c>
      <c r="E27" s="129">
        <f t="shared" ref="E27:F27" si="1">E28</f>
        <v>68718.625</v>
      </c>
      <c r="F27" s="129">
        <f t="shared" si="1"/>
        <v>68864.404374999998</v>
      </c>
    </row>
    <row r="28" spans="1:6" x14ac:dyDescent="0.25">
      <c r="A28" s="13" t="s">
        <v>47</v>
      </c>
      <c r="B28" s="77">
        <f>8085.46+139070.23</f>
        <v>147155.69</v>
      </c>
      <c r="C28" s="116">
        <f>3500+49800</f>
        <v>53300</v>
      </c>
      <c r="D28" s="116">
        <f>59000+9575</f>
        <v>68575</v>
      </c>
      <c r="E28" s="116">
        <f>D28*1.015-885</f>
        <v>68718.625</v>
      </c>
      <c r="F28" s="116">
        <f>E28*1.015-885</f>
        <v>68864.404374999998</v>
      </c>
    </row>
    <row r="29" spans="1:6" x14ac:dyDescent="0.25">
      <c r="A29" s="26" t="s">
        <v>48</v>
      </c>
      <c r="B29" s="129">
        <f>B30</f>
        <v>12251.44</v>
      </c>
      <c r="C29" s="129">
        <f>C30</f>
        <v>2500</v>
      </c>
      <c r="D29" s="129">
        <f>D30</f>
        <v>4550</v>
      </c>
      <c r="E29" s="129">
        <f t="shared" ref="E29:F29" si="2">E30</f>
        <v>4618.25</v>
      </c>
      <c r="F29" s="129">
        <f t="shared" si="2"/>
        <v>4687.5237499999994</v>
      </c>
    </row>
    <row r="30" spans="1:6" x14ac:dyDescent="0.25">
      <c r="A30" s="13" t="s">
        <v>49</v>
      </c>
      <c r="B30" s="77">
        <v>12251.44</v>
      </c>
      <c r="C30" s="116">
        <v>2500</v>
      </c>
      <c r="D30" s="116">
        <v>4550</v>
      </c>
      <c r="E30" s="116">
        <f>D30*1.015</f>
        <v>4618.25</v>
      </c>
      <c r="F30" s="116">
        <f>E30*1.015</f>
        <v>4687.5237499999994</v>
      </c>
    </row>
    <row r="31" spans="1:6" ht="25.5" x14ac:dyDescent="0.25">
      <c r="A31" s="11" t="s">
        <v>44</v>
      </c>
      <c r="B31" s="156">
        <f>B32</f>
        <v>29294.54</v>
      </c>
      <c r="C31" s="156">
        <f>C32</f>
        <v>25650</v>
      </c>
      <c r="D31" s="156">
        <f>D32</f>
        <v>30482</v>
      </c>
      <c r="E31" s="156">
        <f>E32</f>
        <v>30939.229999999996</v>
      </c>
      <c r="F31" s="156">
        <f>F32</f>
        <v>31403.318449999992</v>
      </c>
    </row>
    <row r="32" spans="1:6" ht="25.5" x14ac:dyDescent="0.25">
      <c r="A32" s="18" t="s">
        <v>45</v>
      </c>
      <c r="B32" s="157">
        <v>29294.54</v>
      </c>
      <c r="C32" s="157">
        <v>25650</v>
      </c>
      <c r="D32" s="157">
        <v>30482</v>
      </c>
      <c r="E32" s="157">
        <f>D32*1.015</f>
        <v>30939.229999999996</v>
      </c>
      <c r="F32" s="157">
        <f>E32*1.015</f>
        <v>31403.318449999992</v>
      </c>
    </row>
    <row r="33" spans="1:6" x14ac:dyDescent="0.25">
      <c r="A33" s="39" t="s">
        <v>42</v>
      </c>
      <c r="B33" s="156">
        <f>B34+B35</f>
        <v>940562.57</v>
      </c>
      <c r="C33" s="156">
        <f>C34+C35</f>
        <v>878100</v>
      </c>
      <c r="D33" s="156">
        <f>D34+D35</f>
        <v>1218241</v>
      </c>
      <c r="E33" s="156">
        <f t="shared" ref="E33:F33" si="3">E34+E35</f>
        <v>1236514.6149999998</v>
      </c>
      <c r="F33" s="156">
        <f t="shared" si="3"/>
        <v>1255062.3342249996</v>
      </c>
    </row>
    <row r="34" spans="1:6" x14ac:dyDescent="0.25">
      <c r="A34" s="13" t="s">
        <v>98</v>
      </c>
      <c r="B34" s="157">
        <v>30878.86</v>
      </c>
      <c r="C34" s="157">
        <v>36100</v>
      </c>
      <c r="D34" s="160">
        <f>3060+46704</f>
        <v>49764</v>
      </c>
      <c r="E34" s="157">
        <f>D34*1.015</f>
        <v>50510.459999999992</v>
      </c>
      <c r="F34" s="157">
        <f>E34*1.015</f>
        <v>51268.116899999986</v>
      </c>
    </row>
    <row r="35" spans="1:6" x14ac:dyDescent="0.25">
      <c r="A35" s="13" t="s">
        <v>43</v>
      </c>
      <c r="B35" s="158">
        <v>909683.71</v>
      </c>
      <c r="C35" s="157">
        <v>842000</v>
      </c>
      <c r="D35" s="157">
        <v>1168477</v>
      </c>
      <c r="E35" s="157">
        <f>D35*1.015</f>
        <v>1186004.1549999998</v>
      </c>
      <c r="F35" s="157">
        <f>E35*1.015</f>
        <v>1203794.2173249996</v>
      </c>
    </row>
    <row r="36" spans="1:6" x14ac:dyDescent="0.25">
      <c r="A36" s="71" t="s">
        <v>133</v>
      </c>
      <c r="B36" s="156">
        <f>B37</f>
        <v>0</v>
      </c>
      <c r="C36" s="156">
        <f>C37</f>
        <v>1500</v>
      </c>
      <c r="D36" s="156">
        <f>D37</f>
        <v>3000</v>
      </c>
      <c r="E36" s="156">
        <f t="shared" ref="E36:F36" si="4">E37</f>
        <v>3044.9999999999995</v>
      </c>
      <c r="F36" s="156">
        <f t="shared" si="4"/>
        <v>3090.6749999999993</v>
      </c>
    </row>
    <row r="37" spans="1:6" x14ac:dyDescent="0.25">
      <c r="A37" s="13" t="s">
        <v>132</v>
      </c>
      <c r="B37" s="157">
        <v>0</v>
      </c>
      <c r="C37" s="157">
        <v>1500</v>
      </c>
      <c r="D37" s="157">
        <v>3000</v>
      </c>
      <c r="E37" s="157">
        <f>D37*1.015</f>
        <v>3044.9999999999995</v>
      </c>
      <c r="F37" s="157">
        <f>E37*1.015</f>
        <v>3090.6749999999993</v>
      </c>
    </row>
    <row r="39" spans="1:6" x14ac:dyDescent="0.25">
      <c r="B39" s="72"/>
    </row>
    <row r="40" spans="1:6" x14ac:dyDescent="0.25">
      <c r="B40" s="72"/>
    </row>
  </sheetData>
  <mergeCells count="6">
    <mergeCell ref="A1:F1"/>
    <mergeCell ref="A3:F3"/>
    <mergeCell ref="A5:F5"/>
    <mergeCell ref="A7:F7"/>
    <mergeCell ref="A23:F23"/>
    <mergeCell ref="C2:D2"/>
  </mergeCells>
  <pageMargins left="0.7" right="0.7" top="0.75" bottom="0.75" header="0.3" footer="0.3"/>
  <pageSetup paperSize="9" scale="75" orientation="landscape" r:id="rId1"/>
  <ignoredErrors>
    <ignoredError sqref="E20:F20 E17:F17 E14:F14 B12:C12 B28 E30:F30 E33:F33 E36:F36 E31:F31 E29:F29 E15:F15 E13:F1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6"/>
  <sheetViews>
    <sheetView workbookViewId="0">
      <selection sqref="A1:F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312" t="s">
        <v>148</v>
      </c>
      <c r="B1" s="312"/>
      <c r="C1" s="312"/>
      <c r="D1" s="312"/>
      <c r="E1" s="312"/>
      <c r="F1" s="312"/>
    </row>
    <row r="2" spans="1:6" ht="18" customHeight="1" x14ac:dyDescent="0.25">
      <c r="A2" s="4"/>
      <c r="B2" s="4"/>
      <c r="C2" s="323" t="s">
        <v>144</v>
      </c>
      <c r="D2" s="323"/>
      <c r="E2" s="4"/>
      <c r="F2" s="4"/>
    </row>
    <row r="3" spans="1:6" ht="15.75" x14ac:dyDescent="0.25">
      <c r="A3" s="312" t="s">
        <v>18</v>
      </c>
      <c r="B3" s="312"/>
      <c r="C3" s="312"/>
      <c r="D3" s="312"/>
      <c r="E3" s="316"/>
      <c r="F3" s="316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312" t="s">
        <v>4</v>
      </c>
      <c r="B5" s="313"/>
      <c r="C5" s="313"/>
      <c r="D5" s="313"/>
      <c r="E5" s="313"/>
      <c r="F5" s="313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312" t="s">
        <v>11</v>
      </c>
      <c r="B7" s="324"/>
      <c r="C7" s="324"/>
      <c r="D7" s="324"/>
      <c r="E7" s="324"/>
      <c r="F7" s="324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1" t="s">
        <v>41</v>
      </c>
      <c r="B9" s="155" t="s">
        <v>134</v>
      </c>
      <c r="C9" s="159" t="s">
        <v>135</v>
      </c>
      <c r="D9" s="21" t="s">
        <v>136</v>
      </c>
      <c r="E9" s="21" t="s">
        <v>29</v>
      </c>
      <c r="F9" s="21" t="s">
        <v>137</v>
      </c>
    </row>
    <row r="10" spans="1:6" ht="15.75" customHeight="1" x14ac:dyDescent="0.25">
      <c r="A10" s="11" t="s">
        <v>12</v>
      </c>
      <c r="B10" s="79">
        <f t="shared" ref="B10:F11" si="0">B11</f>
        <v>1124579.74</v>
      </c>
      <c r="C10" s="79">
        <f t="shared" si="0"/>
        <v>961050</v>
      </c>
      <c r="D10" s="79">
        <f t="shared" si="0"/>
        <v>1324848</v>
      </c>
      <c r="E10" s="120">
        <f>E11</f>
        <v>1343835.72</v>
      </c>
      <c r="F10" s="120">
        <f>F11</f>
        <v>1363108.2557999999</v>
      </c>
    </row>
    <row r="11" spans="1:6" ht="15.75" customHeight="1" x14ac:dyDescent="0.25">
      <c r="A11" s="11" t="s">
        <v>101</v>
      </c>
      <c r="B11" s="77">
        <f t="shared" si="0"/>
        <v>1124579.74</v>
      </c>
      <c r="C11" s="77">
        <f t="shared" si="0"/>
        <v>961050</v>
      </c>
      <c r="D11" s="77">
        <f t="shared" si="0"/>
        <v>1324848</v>
      </c>
      <c r="E11" s="121">
        <f t="shared" si="0"/>
        <v>1343835.72</v>
      </c>
      <c r="F11" s="121">
        <f t="shared" si="0"/>
        <v>1363108.2557999999</v>
      </c>
    </row>
    <row r="12" spans="1:6" x14ac:dyDescent="0.25">
      <c r="A12" s="18" t="s">
        <v>102</v>
      </c>
      <c r="B12" s="77">
        <f>B13+B14</f>
        <v>1124579.74</v>
      </c>
      <c r="C12" s="77">
        <f>C13+C14</f>
        <v>961050</v>
      </c>
      <c r="D12" s="77">
        <f>D13+D14</f>
        <v>1324848</v>
      </c>
      <c r="E12" s="77">
        <f t="shared" ref="E12:F12" si="1">E13+E14</f>
        <v>1343835.72</v>
      </c>
      <c r="F12" s="77">
        <f t="shared" si="1"/>
        <v>1363108.2557999999</v>
      </c>
    </row>
    <row r="13" spans="1:6" x14ac:dyDescent="0.25">
      <c r="A13" s="17" t="s">
        <v>103</v>
      </c>
      <c r="B13" s="77">
        <v>1079481.6399999999</v>
      </c>
      <c r="C13" s="116">
        <v>921050</v>
      </c>
      <c r="D13" s="116">
        <f>1324848-D14</f>
        <v>1278008</v>
      </c>
      <c r="E13" s="122">
        <f>D13*1.015-885</f>
        <v>1296293.1199999999</v>
      </c>
      <c r="F13" s="122">
        <f>E13*1.015-885</f>
        <v>1314852.5167999999</v>
      </c>
    </row>
    <row r="14" spans="1:6" x14ac:dyDescent="0.25">
      <c r="A14" s="17" t="s">
        <v>104</v>
      </c>
      <c r="B14" s="77">
        <v>45098.1</v>
      </c>
      <c r="C14" s="116">
        <v>40000</v>
      </c>
      <c r="D14" s="116">
        <v>46840</v>
      </c>
      <c r="E14" s="122">
        <f>D14*1.015</f>
        <v>47542.6</v>
      </c>
      <c r="F14" s="122">
        <f>E14*1.015</f>
        <v>48255.738999999994</v>
      </c>
    </row>
    <row r="15" spans="1:6" x14ac:dyDescent="0.25">
      <c r="A15" s="11" t="s">
        <v>13</v>
      </c>
      <c r="B15" s="8"/>
      <c r="C15" s="9"/>
      <c r="D15" s="9"/>
      <c r="E15" s="9"/>
      <c r="F15" s="10"/>
    </row>
    <row r="16" spans="1:6" ht="25.5" x14ac:dyDescent="0.25">
      <c r="A16" s="19" t="s">
        <v>14</v>
      </c>
      <c r="B16" s="8"/>
      <c r="C16" s="9"/>
      <c r="D16" s="9"/>
      <c r="E16" s="9"/>
      <c r="F16" s="10"/>
    </row>
  </sheetData>
  <mergeCells count="5">
    <mergeCell ref="A1:F1"/>
    <mergeCell ref="A3:F3"/>
    <mergeCell ref="A5:F5"/>
    <mergeCell ref="A7:F7"/>
    <mergeCell ref="C2:D2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sqref="A1:H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312" t="s">
        <v>148</v>
      </c>
      <c r="B1" s="312"/>
      <c r="C1" s="312"/>
      <c r="D1" s="312"/>
      <c r="E1" s="312"/>
      <c r="F1" s="312"/>
      <c r="G1" s="312"/>
      <c r="H1" s="312"/>
    </row>
    <row r="2" spans="1:8" ht="18" customHeight="1" x14ac:dyDescent="0.25">
      <c r="A2" s="4"/>
      <c r="B2" s="4"/>
      <c r="C2" s="4"/>
      <c r="D2" s="4"/>
      <c r="E2" s="323" t="s">
        <v>144</v>
      </c>
      <c r="F2" s="323"/>
      <c r="G2" s="4"/>
      <c r="H2" s="4"/>
    </row>
    <row r="3" spans="1:8" ht="15.75" customHeight="1" x14ac:dyDescent="0.25">
      <c r="A3" s="312" t="s">
        <v>18</v>
      </c>
      <c r="B3" s="312"/>
      <c r="C3" s="312"/>
      <c r="D3" s="312"/>
      <c r="E3" s="312"/>
      <c r="F3" s="312"/>
      <c r="G3" s="312"/>
      <c r="H3" s="312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312" t="s">
        <v>50</v>
      </c>
      <c r="B5" s="312"/>
      <c r="C5" s="312"/>
      <c r="D5" s="312"/>
      <c r="E5" s="312"/>
      <c r="F5" s="312"/>
      <c r="G5" s="312"/>
      <c r="H5" s="312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1" t="s">
        <v>5</v>
      </c>
      <c r="B7" s="20" t="s">
        <v>6</v>
      </c>
      <c r="C7" s="20" t="s">
        <v>28</v>
      </c>
      <c r="D7" s="20" t="s">
        <v>134</v>
      </c>
      <c r="E7" s="21" t="s">
        <v>135</v>
      </c>
      <c r="F7" s="21" t="s">
        <v>136</v>
      </c>
      <c r="G7" s="21" t="s">
        <v>29</v>
      </c>
      <c r="H7" s="21" t="s">
        <v>137</v>
      </c>
    </row>
    <row r="8" spans="1:8" x14ac:dyDescent="0.25">
      <c r="A8" s="37"/>
      <c r="B8" s="38"/>
      <c r="C8" s="36" t="s">
        <v>52</v>
      </c>
      <c r="D8" s="38"/>
      <c r="E8" s="37"/>
      <c r="F8" s="37"/>
      <c r="G8" s="37"/>
      <c r="H8" s="37"/>
    </row>
    <row r="9" spans="1:8" ht="25.5" x14ac:dyDescent="0.25">
      <c r="A9" s="11">
        <v>8</v>
      </c>
      <c r="B9" s="11"/>
      <c r="C9" s="11" t="s">
        <v>15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22</v>
      </c>
      <c r="D10" s="8"/>
      <c r="E10" s="9"/>
      <c r="F10" s="9"/>
      <c r="G10" s="9"/>
      <c r="H10" s="9"/>
    </row>
    <row r="11" spans="1:8" x14ac:dyDescent="0.25">
      <c r="A11" s="11"/>
      <c r="B11" s="16"/>
      <c r="C11" s="40"/>
      <c r="D11" s="8"/>
      <c r="E11" s="9"/>
      <c r="F11" s="9"/>
      <c r="G11" s="9"/>
      <c r="H11" s="9"/>
    </row>
    <row r="12" spans="1:8" x14ac:dyDescent="0.25">
      <c r="A12" s="11"/>
      <c r="B12" s="16"/>
      <c r="C12" s="36" t="s">
        <v>55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6" t="s">
        <v>16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7" t="s">
        <v>23</v>
      </c>
      <c r="D14" s="8"/>
      <c r="E14" s="9"/>
      <c r="F14" s="9"/>
      <c r="G14" s="9"/>
      <c r="H14" s="10"/>
    </row>
  </sheetData>
  <mergeCells count="4">
    <mergeCell ref="A1:H1"/>
    <mergeCell ref="A3:H3"/>
    <mergeCell ref="A5:H5"/>
    <mergeCell ref="E2:F2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sqref="A1:F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312" t="s">
        <v>148</v>
      </c>
      <c r="B1" s="312"/>
      <c r="C1" s="312"/>
      <c r="D1" s="312"/>
      <c r="E1" s="312"/>
      <c r="F1" s="312"/>
    </row>
    <row r="2" spans="1:6" ht="18" customHeight="1" x14ac:dyDescent="0.25">
      <c r="A2" s="25"/>
      <c r="B2" s="25"/>
      <c r="C2" s="323" t="s">
        <v>144</v>
      </c>
      <c r="D2" s="323"/>
      <c r="E2" s="25"/>
      <c r="F2" s="25"/>
    </row>
    <row r="3" spans="1:6" ht="15.75" customHeight="1" x14ac:dyDescent="0.25">
      <c r="A3" s="312" t="s">
        <v>18</v>
      </c>
      <c r="B3" s="312"/>
      <c r="C3" s="312"/>
      <c r="D3" s="312"/>
      <c r="E3" s="312"/>
      <c r="F3" s="312"/>
    </row>
    <row r="4" spans="1:6" ht="18" x14ac:dyDescent="0.25">
      <c r="A4" s="25"/>
      <c r="B4" s="25"/>
      <c r="C4" s="25"/>
      <c r="D4" s="25"/>
      <c r="E4" s="5"/>
      <c r="F4" s="5"/>
    </row>
    <row r="5" spans="1:6" ht="18" customHeight="1" x14ac:dyDescent="0.25">
      <c r="A5" s="312" t="s">
        <v>51</v>
      </c>
      <c r="B5" s="312"/>
      <c r="C5" s="312"/>
      <c r="D5" s="312"/>
      <c r="E5" s="312"/>
      <c r="F5" s="312"/>
    </row>
    <row r="6" spans="1:6" ht="18" x14ac:dyDescent="0.25">
      <c r="A6" s="25"/>
      <c r="B6" s="25"/>
      <c r="C6" s="25"/>
      <c r="D6" s="25"/>
      <c r="E6" s="5"/>
      <c r="F6" s="5"/>
    </row>
    <row r="7" spans="1:6" ht="25.5" x14ac:dyDescent="0.25">
      <c r="A7" s="20" t="s">
        <v>41</v>
      </c>
      <c r="B7" s="20" t="s">
        <v>134</v>
      </c>
      <c r="C7" s="21" t="s">
        <v>135</v>
      </c>
      <c r="D7" s="21" t="s">
        <v>136</v>
      </c>
      <c r="E7" s="21" t="s">
        <v>29</v>
      </c>
      <c r="F7" s="21" t="s">
        <v>137</v>
      </c>
    </row>
    <row r="8" spans="1:6" x14ac:dyDescent="0.25">
      <c r="A8" s="11" t="s">
        <v>52</v>
      </c>
      <c r="B8" s="8"/>
      <c r="C8" s="9"/>
      <c r="D8" s="9"/>
      <c r="E8" s="9"/>
      <c r="F8" s="9"/>
    </row>
    <row r="9" spans="1:6" ht="25.5" x14ac:dyDescent="0.25">
      <c r="A9" s="11" t="s">
        <v>53</v>
      </c>
      <c r="B9" s="8"/>
      <c r="C9" s="9"/>
      <c r="D9" s="9"/>
      <c r="E9" s="9"/>
      <c r="F9" s="9"/>
    </row>
    <row r="10" spans="1:6" ht="25.5" x14ac:dyDescent="0.25">
      <c r="A10" s="18" t="s">
        <v>54</v>
      </c>
      <c r="B10" s="8"/>
      <c r="C10" s="9"/>
      <c r="D10" s="9"/>
      <c r="E10" s="9"/>
      <c r="F10" s="9"/>
    </row>
    <row r="11" spans="1:6" x14ac:dyDescent="0.25">
      <c r="A11" s="18"/>
      <c r="B11" s="8"/>
      <c r="C11" s="9"/>
      <c r="D11" s="9"/>
      <c r="E11" s="9"/>
      <c r="F11" s="9"/>
    </row>
    <row r="12" spans="1:6" x14ac:dyDescent="0.25">
      <c r="A12" s="11" t="s">
        <v>55</v>
      </c>
      <c r="B12" s="8"/>
      <c r="C12" s="9"/>
      <c r="D12" s="9"/>
      <c r="E12" s="9"/>
      <c r="F12" s="9"/>
    </row>
    <row r="13" spans="1:6" x14ac:dyDescent="0.25">
      <c r="A13" s="26" t="s">
        <v>46</v>
      </c>
      <c r="B13" s="8"/>
      <c r="C13" s="9"/>
      <c r="D13" s="9"/>
      <c r="E13" s="9"/>
      <c r="F13" s="9"/>
    </row>
    <row r="14" spans="1:6" x14ac:dyDescent="0.25">
      <c r="A14" s="13" t="s">
        <v>47</v>
      </c>
      <c r="B14" s="8"/>
      <c r="C14" s="9"/>
      <c r="D14" s="9"/>
      <c r="E14" s="9"/>
      <c r="F14" s="10"/>
    </row>
    <row r="15" spans="1:6" x14ac:dyDescent="0.25">
      <c r="A15" s="26" t="s">
        <v>48</v>
      </c>
      <c r="B15" s="8"/>
      <c r="C15" s="9"/>
      <c r="D15" s="9"/>
      <c r="E15" s="9"/>
      <c r="F15" s="10"/>
    </row>
    <row r="16" spans="1:6" x14ac:dyDescent="0.25">
      <c r="A16" s="13" t="s">
        <v>49</v>
      </c>
      <c r="B16" s="8"/>
      <c r="C16" s="9"/>
      <c r="D16" s="9"/>
      <c r="E16" s="9"/>
      <c r="F16" s="10"/>
    </row>
  </sheetData>
  <mergeCells count="4">
    <mergeCell ref="A1:F1"/>
    <mergeCell ref="A3:F3"/>
    <mergeCell ref="A5:F5"/>
    <mergeCell ref="C2:D2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65"/>
  <sheetViews>
    <sheetView zoomScaleNormal="100" workbookViewId="0">
      <selection sqref="A1:I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3" customWidth="1"/>
    <col min="5" max="9" width="25.28515625" customWidth="1"/>
    <col min="10" max="10" width="15.42578125" bestFit="1" customWidth="1"/>
    <col min="11" max="12" width="9.85546875" bestFit="1" customWidth="1"/>
  </cols>
  <sheetData>
    <row r="1" spans="1:11" ht="42" customHeight="1" x14ac:dyDescent="0.25">
      <c r="A1" s="306" t="s">
        <v>148</v>
      </c>
      <c r="B1" s="349"/>
      <c r="C1" s="349"/>
      <c r="D1" s="349"/>
      <c r="E1" s="349"/>
      <c r="F1" s="349"/>
      <c r="G1" s="349"/>
      <c r="H1" s="349"/>
      <c r="I1" s="349"/>
    </row>
    <row r="2" spans="1:11" ht="18" x14ac:dyDescent="0.25">
      <c r="A2" s="4"/>
      <c r="B2" s="4"/>
      <c r="C2" s="4"/>
      <c r="D2" s="4"/>
      <c r="E2" s="323" t="s">
        <v>144</v>
      </c>
      <c r="F2" s="323"/>
      <c r="G2" s="4"/>
      <c r="H2" s="5"/>
      <c r="I2" s="5"/>
    </row>
    <row r="3" spans="1:11" ht="18" customHeight="1" x14ac:dyDescent="0.25">
      <c r="A3" s="312" t="s">
        <v>17</v>
      </c>
      <c r="B3" s="313"/>
      <c r="C3" s="313"/>
      <c r="D3" s="313"/>
      <c r="E3" s="313"/>
      <c r="F3" s="313"/>
      <c r="G3" s="313"/>
      <c r="H3" s="313"/>
      <c r="I3" s="313"/>
    </row>
    <row r="4" spans="1:11" ht="16.5" customHeight="1" thickBot="1" x14ac:dyDescent="0.3">
      <c r="A4" s="4"/>
      <c r="B4" s="4"/>
      <c r="C4" s="4"/>
      <c r="D4" s="4"/>
      <c r="E4" s="152"/>
      <c r="F4" s="75"/>
      <c r="G4" s="4"/>
      <c r="H4" s="5"/>
      <c r="I4" s="5"/>
      <c r="K4" s="74"/>
    </row>
    <row r="5" spans="1:11" s="90" customFormat="1" x14ac:dyDescent="0.25">
      <c r="A5" s="358" t="s">
        <v>19</v>
      </c>
      <c r="B5" s="359"/>
      <c r="C5" s="359"/>
      <c r="D5" s="245" t="s">
        <v>20</v>
      </c>
      <c r="E5" s="245" t="s">
        <v>134</v>
      </c>
      <c r="F5" s="245" t="s">
        <v>139</v>
      </c>
      <c r="G5" s="245" t="s">
        <v>140</v>
      </c>
      <c r="H5" s="245" t="s">
        <v>141</v>
      </c>
      <c r="I5" s="246" t="s">
        <v>142</v>
      </c>
      <c r="K5" s="138"/>
    </row>
    <row r="6" spans="1:11" s="90" customFormat="1" x14ac:dyDescent="0.25">
      <c r="A6" s="360">
        <v>1</v>
      </c>
      <c r="B6" s="361"/>
      <c r="C6" s="361"/>
      <c r="D6" s="289">
        <v>2</v>
      </c>
      <c r="E6" s="290">
        <v>3</v>
      </c>
      <c r="F6" s="290">
        <v>4</v>
      </c>
      <c r="G6" s="290">
        <v>5</v>
      </c>
      <c r="H6" s="290">
        <v>6</v>
      </c>
      <c r="I6" s="291">
        <v>7</v>
      </c>
      <c r="K6" s="138"/>
    </row>
    <row r="7" spans="1:11" s="90" customFormat="1" x14ac:dyDescent="0.25">
      <c r="A7" s="362" t="s">
        <v>105</v>
      </c>
      <c r="B7" s="363"/>
      <c r="C7" s="363"/>
      <c r="D7" s="21" t="s">
        <v>106</v>
      </c>
      <c r="E7" s="275">
        <f>E8+E78+E108+E134-19978.61</f>
        <v>1124579.7399999998</v>
      </c>
      <c r="F7" s="275">
        <f>F8+F78+F108+F134-9000</f>
        <v>961050</v>
      </c>
      <c r="G7" s="275">
        <f>G8+G78+G108+G134+G141</f>
        <v>1324848</v>
      </c>
      <c r="H7" s="275">
        <f>H8+H78+H108+H134+H141</f>
        <v>1343835.7199999997</v>
      </c>
      <c r="I7" s="275">
        <f>I8+I78+I108+I134+I141</f>
        <v>1363108.2557999999</v>
      </c>
      <c r="J7" s="138"/>
      <c r="K7" s="138"/>
    </row>
    <row r="8" spans="1:11" s="90" customFormat="1" ht="33.75" customHeight="1" x14ac:dyDescent="0.25">
      <c r="A8" s="352" t="s">
        <v>128</v>
      </c>
      <c r="B8" s="353"/>
      <c r="C8" s="353"/>
      <c r="D8" s="354"/>
      <c r="E8" s="275">
        <f>E9+E20+E46+E72</f>
        <v>1042920.22</v>
      </c>
      <c r="F8" s="275">
        <f>F9+F20+F46+F72</f>
        <v>880650</v>
      </c>
      <c r="G8" s="275">
        <f>G9+G20+G46+G72</f>
        <v>1202419</v>
      </c>
      <c r="H8" s="275">
        <f>H9+H20+H46+H72</f>
        <v>1220455.2849999999</v>
      </c>
      <c r="I8" s="275">
        <f>I9+I20+I46+I72</f>
        <v>1238762.1142749998</v>
      </c>
      <c r="K8" s="138"/>
    </row>
    <row r="9" spans="1:11" s="90" customFormat="1" ht="18" customHeight="1" x14ac:dyDescent="0.25">
      <c r="A9" s="335" t="s">
        <v>109</v>
      </c>
      <c r="B9" s="336"/>
      <c r="C9" s="336"/>
      <c r="D9" s="180" t="s">
        <v>76</v>
      </c>
      <c r="E9" s="181">
        <f>E10</f>
        <v>12251.439999999999</v>
      </c>
      <c r="F9" s="182">
        <v>2500</v>
      </c>
      <c r="G9" s="181">
        <f>G10</f>
        <v>4550</v>
      </c>
      <c r="H9" s="181">
        <f>H10</f>
        <v>4618.25</v>
      </c>
      <c r="I9" s="247">
        <f>I10</f>
        <v>4687.5237499999994</v>
      </c>
      <c r="K9" s="138"/>
    </row>
    <row r="10" spans="1:11" s="90" customFormat="1" x14ac:dyDescent="0.25">
      <c r="A10" s="331">
        <v>3</v>
      </c>
      <c r="B10" s="332"/>
      <c r="C10" s="332"/>
      <c r="D10" s="92" t="s">
        <v>9</v>
      </c>
      <c r="E10" s="84">
        <f>E11+E17</f>
        <v>12251.439999999999</v>
      </c>
      <c r="F10" s="84">
        <f>F11+F17</f>
        <v>2350</v>
      </c>
      <c r="G10" s="84">
        <f>G11+G17</f>
        <v>4550</v>
      </c>
      <c r="H10" s="84">
        <f>H11+H17</f>
        <v>4618.25</v>
      </c>
      <c r="I10" s="279">
        <f>I11+I17</f>
        <v>4687.5237499999994</v>
      </c>
      <c r="K10" s="138"/>
    </row>
    <row r="11" spans="1:11" s="90" customFormat="1" x14ac:dyDescent="0.25">
      <c r="A11" s="331">
        <v>31</v>
      </c>
      <c r="B11" s="332"/>
      <c r="C11" s="332"/>
      <c r="D11" s="92" t="s">
        <v>10</v>
      </c>
      <c r="E11" s="84">
        <f>E12+E15</f>
        <v>925.63</v>
      </c>
      <c r="F11" s="84">
        <f>F12</f>
        <v>850</v>
      </c>
      <c r="G11" s="84">
        <f>G12</f>
        <v>1020</v>
      </c>
      <c r="H11" s="84">
        <f>G11*1.015</f>
        <v>1035.3</v>
      </c>
      <c r="I11" s="279">
        <f>H11*1.015</f>
        <v>1050.8294999999998</v>
      </c>
      <c r="K11" s="138"/>
    </row>
    <row r="12" spans="1:11" s="90" customFormat="1" x14ac:dyDescent="0.25">
      <c r="A12" s="337">
        <v>311</v>
      </c>
      <c r="B12" s="338"/>
      <c r="C12" s="339"/>
      <c r="D12" s="139" t="s">
        <v>66</v>
      </c>
      <c r="E12" s="84">
        <f>SUM(E13:E14)</f>
        <v>791.6</v>
      </c>
      <c r="F12" s="84">
        <f>SUM(F13:F14)</f>
        <v>850</v>
      </c>
      <c r="G12" s="84">
        <f>SUM(G13:G14)</f>
        <v>1020</v>
      </c>
      <c r="H12" s="84"/>
      <c r="I12" s="279"/>
      <c r="K12" s="138"/>
    </row>
    <row r="13" spans="1:11" s="83" customFormat="1" x14ac:dyDescent="0.25">
      <c r="A13" s="329">
        <v>3113</v>
      </c>
      <c r="B13" s="330"/>
      <c r="C13" s="330"/>
      <c r="D13" s="93" t="s">
        <v>68</v>
      </c>
      <c r="E13" s="97">
        <v>684</v>
      </c>
      <c r="F13" s="97">
        <v>730</v>
      </c>
      <c r="G13" s="97">
        <v>720</v>
      </c>
      <c r="H13" s="95"/>
      <c r="I13" s="142"/>
    </row>
    <row r="14" spans="1:11" s="83" customFormat="1" x14ac:dyDescent="0.25">
      <c r="A14" s="329">
        <v>3114</v>
      </c>
      <c r="B14" s="330"/>
      <c r="C14" s="330"/>
      <c r="D14" s="93" t="s">
        <v>69</v>
      </c>
      <c r="E14" s="97">
        <v>107.6</v>
      </c>
      <c r="F14" s="97">
        <v>120</v>
      </c>
      <c r="G14" s="97">
        <v>300</v>
      </c>
      <c r="H14" s="95"/>
      <c r="I14" s="142"/>
    </row>
    <row r="15" spans="1:11" x14ac:dyDescent="0.25">
      <c r="A15" s="325">
        <v>313</v>
      </c>
      <c r="B15" s="326"/>
      <c r="C15" s="326"/>
      <c r="D15" s="153" t="s">
        <v>72</v>
      </c>
      <c r="E15" s="116">
        <f t="shared" ref="E15:F15" si="0">SUM(E16)</f>
        <v>134.03</v>
      </c>
      <c r="F15" s="116">
        <f t="shared" si="0"/>
        <v>150</v>
      </c>
      <c r="G15" s="116">
        <f>SUM(G16)</f>
        <v>100</v>
      </c>
      <c r="H15" s="149"/>
      <c r="I15" s="150"/>
    </row>
    <row r="16" spans="1:11" x14ac:dyDescent="0.25">
      <c r="A16" s="325">
        <v>3132</v>
      </c>
      <c r="B16" s="326"/>
      <c r="C16" s="326"/>
      <c r="D16" s="153" t="s">
        <v>72</v>
      </c>
      <c r="E16" s="116">
        <v>134.03</v>
      </c>
      <c r="F16" s="116">
        <v>150</v>
      </c>
      <c r="G16" s="116">
        <v>100</v>
      </c>
      <c r="H16" s="149"/>
      <c r="I16" s="150"/>
    </row>
    <row r="17" spans="1:11" s="90" customFormat="1" x14ac:dyDescent="0.25">
      <c r="A17" s="331">
        <v>32</v>
      </c>
      <c r="B17" s="332"/>
      <c r="C17" s="332"/>
      <c r="D17" s="92" t="s">
        <v>21</v>
      </c>
      <c r="E17" s="84">
        <f t="shared" ref="E17:G18" si="1">E18</f>
        <v>11325.81</v>
      </c>
      <c r="F17" s="84">
        <f t="shared" si="1"/>
        <v>1500</v>
      </c>
      <c r="G17" s="84">
        <f t="shared" si="1"/>
        <v>3530</v>
      </c>
      <c r="H17" s="84">
        <f>G17*1.015</f>
        <v>3582.95</v>
      </c>
      <c r="I17" s="279">
        <f>H17*1.015</f>
        <v>3636.6942499999996</v>
      </c>
      <c r="K17" s="138"/>
    </row>
    <row r="18" spans="1:11" s="90" customFormat="1" x14ac:dyDescent="0.25">
      <c r="A18" s="343">
        <v>322</v>
      </c>
      <c r="B18" s="344"/>
      <c r="C18" s="344"/>
      <c r="D18" s="115" t="s">
        <v>110</v>
      </c>
      <c r="E18" s="116">
        <f t="shared" si="1"/>
        <v>11325.81</v>
      </c>
      <c r="F18" s="116">
        <f t="shared" si="1"/>
        <v>1500</v>
      </c>
      <c r="G18" s="116">
        <f t="shared" si="1"/>
        <v>3530</v>
      </c>
      <c r="H18" s="60"/>
      <c r="I18" s="70"/>
    </row>
    <row r="19" spans="1:11" s="83" customFormat="1" x14ac:dyDescent="0.25">
      <c r="A19" s="329">
        <v>3222</v>
      </c>
      <c r="B19" s="330"/>
      <c r="C19" s="330"/>
      <c r="D19" s="93" t="s">
        <v>77</v>
      </c>
      <c r="E19" s="97">
        <v>11325.81</v>
      </c>
      <c r="F19" s="97">
        <v>1500</v>
      </c>
      <c r="G19" s="97">
        <v>3530</v>
      </c>
      <c r="H19" s="95"/>
      <c r="I19" s="142"/>
    </row>
    <row r="20" spans="1:11" s="90" customFormat="1" ht="18" customHeight="1" x14ac:dyDescent="0.25">
      <c r="A20" s="335" t="s">
        <v>115</v>
      </c>
      <c r="B20" s="336"/>
      <c r="C20" s="336"/>
      <c r="D20" s="180" t="s">
        <v>143</v>
      </c>
      <c r="E20" s="181">
        <f>E21+E42</f>
        <v>990374.21500000008</v>
      </c>
      <c r="F20" s="182">
        <f>F21+F42</f>
        <v>851000</v>
      </c>
      <c r="G20" s="181">
        <f>G21+G42</f>
        <v>1164887</v>
      </c>
      <c r="H20" s="181">
        <f>H21+H42</f>
        <v>1182360.3049999999</v>
      </c>
      <c r="I20" s="247">
        <f>I21+I42</f>
        <v>1200095.7095749998</v>
      </c>
      <c r="K20" s="138"/>
    </row>
    <row r="21" spans="1:11" s="90" customFormat="1" x14ac:dyDescent="0.25">
      <c r="A21" s="331">
        <v>3</v>
      </c>
      <c r="B21" s="332"/>
      <c r="C21" s="332"/>
      <c r="D21" s="92" t="s">
        <v>9</v>
      </c>
      <c r="E21" s="84">
        <f>E22+E31+E38</f>
        <v>897340.30500000005</v>
      </c>
      <c r="F21" s="84">
        <f>F22+F31+F38</f>
        <v>839000</v>
      </c>
      <c r="G21" s="84">
        <f>G22+G31+G38</f>
        <v>1157887</v>
      </c>
      <c r="H21" s="84">
        <f>H22+H31+H38</f>
        <v>1175255.3049999999</v>
      </c>
      <c r="I21" s="279">
        <f>I22+I31+I38</f>
        <v>1192884.1345749998</v>
      </c>
      <c r="K21" s="138"/>
    </row>
    <row r="22" spans="1:11" s="90" customFormat="1" x14ac:dyDescent="0.25">
      <c r="A22" s="331">
        <v>31</v>
      </c>
      <c r="B22" s="332"/>
      <c r="C22" s="332"/>
      <c r="D22" s="92" t="s">
        <v>10</v>
      </c>
      <c r="E22" s="84">
        <f>E23+E27+E29</f>
        <v>822332.9850000001</v>
      </c>
      <c r="F22" s="84">
        <f>F23+F27+F29</f>
        <v>767000</v>
      </c>
      <c r="G22" s="84">
        <f>G23+G27+G29</f>
        <v>1074367</v>
      </c>
      <c r="H22" s="84">
        <f>G22*1.015</f>
        <v>1090482.5049999999</v>
      </c>
      <c r="I22" s="279">
        <f>H22*1.015</f>
        <v>1106839.7425749998</v>
      </c>
      <c r="K22" s="138"/>
    </row>
    <row r="23" spans="1:11" s="90" customFormat="1" x14ac:dyDescent="0.25">
      <c r="A23" s="337">
        <v>311</v>
      </c>
      <c r="B23" s="338"/>
      <c r="C23" s="339"/>
      <c r="D23" s="139" t="s">
        <v>66</v>
      </c>
      <c r="E23" s="84">
        <f>SUM(E24:E26)</f>
        <v>678390.56500000006</v>
      </c>
      <c r="F23" s="84">
        <f>SUM(F24:F26)</f>
        <v>637000</v>
      </c>
      <c r="G23" s="84">
        <f>SUM(G24:G26)</f>
        <v>898240</v>
      </c>
      <c r="H23" s="84"/>
      <c r="I23" s="279"/>
      <c r="K23" s="138"/>
    </row>
    <row r="24" spans="1:11" s="83" customFormat="1" x14ac:dyDescent="0.25">
      <c r="A24" s="329">
        <v>3111</v>
      </c>
      <c r="B24" s="330"/>
      <c r="C24" s="330"/>
      <c r="D24" s="93" t="s">
        <v>67</v>
      </c>
      <c r="E24" s="97">
        <f>646817.87+(14838.27/2)</f>
        <v>654237.005</v>
      </c>
      <c r="F24" s="97">
        <v>610000</v>
      </c>
      <c r="G24" s="97">
        <f>858000+10925</f>
        <v>868925</v>
      </c>
      <c r="H24" s="95"/>
      <c r="I24" s="142"/>
    </row>
    <row r="25" spans="1:11" s="83" customFormat="1" x14ac:dyDescent="0.25">
      <c r="A25" s="329">
        <v>3113</v>
      </c>
      <c r="B25" s="330"/>
      <c r="C25" s="330"/>
      <c r="D25" s="93" t="s">
        <v>68</v>
      </c>
      <c r="E25" s="97">
        <f>8667.13</f>
        <v>8667.1299999999992</v>
      </c>
      <c r="F25" s="97">
        <v>10000</v>
      </c>
      <c r="G25" s="97">
        <v>11521</v>
      </c>
      <c r="H25" s="95"/>
      <c r="I25" s="142"/>
    </row>
    <row r="26" spans="1:11" s="83" customFormat="1" x14ac:dyDescent="0.25">
      <c r="A26" s="329">
        <v>3114</v>
      </c>
      <c r="B26" s="330"/>
      <c r="C26" s="330"/>
      <c r="D26" s="93" t="s">
        <v>69</v>
      </c>
      <c r="E26" s="97">
        <f>4882.77+10322.26+(562.8/2)</f>
        <v>15486.43</v>
      </c>
      <c r="F26" s="97">
        <v>17000</v>
      </c>
      <c r="G26" s="97">
        <f>6216+11578</f>
        <v>17794</v>
      </c>
      <c r="H26" s="95"/>
      <c r="I26" s="142"/>
    </row>
    <row r="27" spans="1:11" s="90" customFormat="1" x14ac:dyDescent="0.25">
      <c r="A27" s="327">
        <v>312</v>
      </c>
      <c r="B27" s="328"/>
      <c r="C27" s="328"/>
      <c r="D27" s="139" t="s">
        <v>70</v>
      </c>
      <c r="E27" s="116">
        <f>E28</f>
        <v>33608.42</v>
      </c>
      <c r="F27" s="116">
        <f>F28</f>
        <v>30000</v>
      </c>
      <c r="G27" s="116">
        <f>G28</f>
        <v>32082</v>
      </c>
      <c r="H27" s="60"/>
      <c r="I27" s="70"/>
    </row>
    <row r="28" spans="1:11" s="83" customFormat="1" x14ac:dyDescent="0.25">
      <c r="A28" s="329">
        <v>3121</v>
      </c>
      <c r="B28" s="330"/>
      <c r="C28" s="330"/>
      <c r="D28" s="154" t="s">
        <v>70</v>
      </c>
      <c r="E28" s="97">
        <f>3096.09+2200+11332.27+150+1327.24+803.75+2102.71+12196.36+300+100</f>
        <v>33608.42</v>
      </c>
      <c r="F28" s="97">
        <v>30000</v>
      </c>
      <c r="G28" s="97">
        <f>2700+5900+882+22200+400</f>
        <v>32082</v>
      </c>
      <c r="H28" s="95"/>
      <c r="I28" s="142"/>
    </row>
    <row r="29" spans="1:11" s="90" customFormat="1" x14ac:dyDescent="0.25">
      <c r="A29" s="327">
        <v>313</v>
      </c>
      <c r="B29" s="328"/>
      <c r="C29" s="328"/>
      <c r="D29" s="139" t="s">
        <v>71</v>
      </c>
      <c r="E29" s="116">
        <f>E30</f>
        <v>110334</v>
      </c>
      <c r="F29" s="116">
        <f>F30</f>
        <v>100000</v>
      </c>
      <c r="G29" s="116">
        <f>G30</f>
        <v>144045</v>
      </c>
      <c r="H29" s="60"/>
      <c r="I29" s="70"/>
    </row>
    <row r="30" spans="1:11" s="83" customFormat="1" x14ac:dyDescent="0.25">
      <c r="A30" s="329">
        <v>3132</v>
      </c>
      <c r="B30" s="330"/>
      <c r="C30" s="330"/>
      <c r="D30" s="154" t="s">
        <v>72</v>
      </c>
      <c r="E30" s="97">
        <f>1270.59+109063.41</f>
        <v>110334</v>
      </c>
      <c r="F30" s="97">
        <v>100000</v>
      </c>
      <c r="G30" s="97">
        <f>141570+2475</f>
        <v>144045</v>
      </c>
      <c r="H30" s="95"/>
      <c r="I30" s="142"/>
    </row>
    <row r="31" spans="1:11" s="90" customFormat="1" x14ac:dyDescent="0.25">
      <c r="A31" s="331">
        <v>32</v>
      </c>
      <c r="B31" s="332"/>
      <c r="C31" s="332"/>
      <c r="D31" s="92" t="s">
        <v>21</v>
      </c>
      <c r="E31" s="84">
        <f>E32+E34+E36+(1307.2/2)</f>
        <v>64916.63</v>
      </c>
      <c r="F31" s="84">
        <f>F32+F34+F36</f>
        <v>63000</v>
      </c>
      <c r="G31" s="84">
        <f>G32+G34+G36</f>
        <v>73020</v>
      </c>
      <c r="H31" s="84">
        <f>G31*1.015</f>
        <v>74115.299999999988</v>
      </c>
      <c r="I31" s="279">
        <f>H31*1.015</f>
        <v>75227.029499999975</v>
      </c>
      <c r="K31" s="138"/>
    </row>
    <row r="32" spans="1:11" s="90" customFormat="1" x14ac:dyDescent="0.25">
      <c r="A32" s="327">
        <v>321</v>
      </c>
      <c r="B32" s="328"/>
      <c r="C32" s="328"/>
      <c r="D32" s="137" t="s">
        <v>74</v>
      </c>
      <c r="E32" s="116">
        <f>SUM(E33)</f>
        <v>22222.54</v>
      </c>
      <c r="F32" s="116">
        <f>SUM(F33)</f>
        <v>23000</v>
      </c>
      <c r="G32" s="116">
        <f>SUM(G33)</f>
        <v>24500</v>
      </c>
      <c r="H32" s="60"/>
      <c r="I32" s="70"/>
    </row>
    <row r="33" spans="1:11" s="83" customFormat="1" x14ac:dyDescent="0.25">
      <c r="A33" s="329">
        <v>3212</v>
      </c>
      <c r="B33" s="330"/>
      <c r="C33" s="330"/>
      <c r="D33" s="143" t="s">
        <v>75</v>
      </c>
      <c r="E33" s="97">
        <f>21858.84+363.7</f>
        <v>22222.54</v>
      </c>
      <c r="F33" s="97">
        <v>23000</v>
      </c>
      <c r="G33" s="97">
        <f>24200+300</f>
        <v>24500</v>
      </c>
      <c r="H33" s="95"/>
      <c r="I33" s="142"/>
    </row>
    <row r="34" spans="1:11" s="90" customFormat="1" x14ac:dyDescent="0.25">
      <c r="A34" s="327">
        <v>322</v>
      </c>
      <c r="B34" s="328"/>
      <c r="C34" s="328"/>
      <c r="D34" s="115" t="s">
        <v>110</v>
      </c>
      <c r="E34" s="116">
        <f>SUM(E35:E35)</f>
        <v>39956.06</v>
      </c>
      <c r="F34" s="116">
        <f>SUM(F35:F35)</f>
        <v>39000</v>
      </c>
      <c r="G34" s="116">
        <f>SUM(G35:G35)</f>
        <v>46840</v>
      </c>
      <c r="H34" s="60"/>
      <c r="I34" s="70"/>
    </row>
    <row r="35" spans="1:11" s="83" customFormat="1" x14ac:dyDescent="0.25">
      <c r="A35" s="329">
        <v>3222</v>
      </c>
      <c r="B35" s="330"/>
      <c r="C35" s="330"/>
      <c r="D35" s="93" t="s">
        <v>77</v>
      </c>
      <c r="E35" s="97">
        <f>2539.84+9942.78+5912.27+6282.59+3571.88+6100.82+757.45+4833.09+15.34</f>
        <v>39956.06</v>
      </c>
      <c r="F35" s="97">
        <v>39000</v>
      </c>
      <c r="G35" s="97">
        <v>46840</v>
      </c>
      <c r="H35" s="95"/>
      <c r="I35" s="142"/>
    </row>
    <row r="36" spans="1:11" s="90" customFormat="1" x14ac:dyDescent="0.25">
      <c r="A36" s="327">
        <v>329</v>
      </c>
      <c r="B36" s="328"/>
      <c r="C36" s="328"/>
      <c r="D36" s="115" t="s">
        <v>108</v>
      </c>
      <c r="E36" s="116">
        <f>E37</f>
        <v>2084.4299999999998</v>
      </c>
      <c r="F36" s="116">
        <f>F37</f>
        <v>1000</v>
      </c>
      <c r="G36" s="116">
        <f>G37</f>
        <v>1680</v>
      </c>
      <c r="H36" s="60"/>
      <c r="I36" s="70"/>
    </row>
    <row r="37" spans="1:11" s="83" customFormat="1" x14ac:dyDescent="0.25">
      <c r="A37" s="329">
        <v>3295</v>
      </c>
      <c r="B37" s="330"/>
      <c r="C37" s="330"/>
      <c r="D37" s="93" t="s">
        <v>117</v>
      </c>
      <c r="E37" s="97">
        <v>2084.4299999999998</v>
      </c>
      <c r="F37" s="97">
        <v>1000</v>
      </c>
      <c r="G37" s="97">
        <v>1680</v>
      </c>
      <c r="H37" s="95"/>
      <c r="I37" s="142"/>
    </row>
    <row r="38" spans="1:11" s="90" customFormat="1" x14ac:dyDescent="0.25">
      <c r="A38" s="327">
        <v>37</v>
      </c>
      <c r="B38" s="328"/>
      <c r="C38" s="328"/>
      <c r="D38" s="92" t="s">
        <v>118</v>
      </c>
      <c r="E38" s="117">
        <f>E39</f>
        <v>10090.69</v>
      </c>
      <c r="F38" s="117">
        <f t="shared" ref="F38" si="2">F39</f>
        <v>9000</v>
      </c>
      <c r="G38" s="117">
        <f>G39</f>
        <v>10500</v>
      </c>
      <c r="H38" s="117">
        <f>G38*1.015</f>
        <v>10657.499999999998</v>
      </c>
      <c r="I38" s="282">
        <f>H38*1.015</f>
        <v>10817.362499999997</v>
      </c>
    </row>
    <row r="39" spans="1:11" s="90" customFormat="1" x14ac:dyDescent="0.25">
      <c r="A39" s="327">
        <v>372</v>
      </c>
      <c r="B39" s="328"/>
      <c r="C39" s="328"/>
      <c r="D39" s="139" t="s">
        <v>119</v>
      </c>
      <c r="E39" s="117">
        <f>E40+E41</f>
        <v>10090.69</v>
      </c>
      <c r="F39" s="117">
        <f t="shared" ref="F39" si="3">F40</f>
        <v>9000</v>
      </c>
      <c r="G39" s="117">
        <f>G40+G41</f>
        <v>10500</v>
      </c>
      <c r="H39" s="60"/>
      <c r="I39" s="63"/>
    </row>
    <row r="40" spans="1:11" s="83" customFormat="1" x14ac:dyDescent="0.25">
      <c r="A40" s="329">
        <v>3722</v>
      </c>
      <c r="B40" s="330"/>
      <c r="C40" s="330"/>
      <c r="D40" s="154" t="s">
        <v>118</v>
      </c>
      <c r="E40" s="97">
        <v>9610.6</v>
      </c>
      <c r="F40" s="97">
        <v>9000</v>
      </c>
      <c r="G40" s="144">
        <v>10000</v>
      </c>
      <c r="H40" s="95"/>
      <c r="I40" s="96"/>
    </row>
    <row r="41" spans="1:11" s="83" customFormat="1" x14ac:dyDescent="0.25">
      <c r="A41" s="355">
        <v>3812</v>
      </c>
      <c r="B41" s="356"/>
      <c r="C41" s="357"/>
      <c r="D41" s="154" t="s">
        <v>175</v>
      </c>
      <c r="E41" s="97">
        <v>480.09</v>
      </c>
      <c r="F41" s="97">
        <v>500</v>
      </c>
      <c r="G41" s="144">
        <v>500</v>
      </c>
      <c r="H41" s="95"/>
      <c r="I41" s="96"/>
    </row>
    <row r="42" spans="1:11" s="90" customFormat="1" ht="25.5" x14ac:dyDescent="0.25">
      <c r="A42" s="335">
        <v>4</v>
      </c>
      <c r="B42" s="336"/>
      <c r="C42" s="336"/>
      <c r="D42" s="169" t="s">
        <v>145</v>
      </c>
      <c r="E42" s="273">
        <f>E43+90244.53</f>
        <v>93033.91</v>
      </c>
      <c r="F42" s="273">
        <f>F43</f>
        <v>12000</v>
      </c>
      <c r="G42" s="273">
        <f>G43</f>
        <v>7000</v>
      </c>
      <c r="H42" s="273">
        <f>H43</f>
        <v>7104.9999999999991</v>
      </c>
      <c r="I42" s="283">
        <f>I43</f>
        <v>7211.574999999998</v>
      </c>
      <c r="K42" s="138"/>
    </row>
    <row r="43" spans="1:11" s="90" customFormat="1" x14ac:dyDescent="0.25">
      <c r="A43" s="331">
        <v>42</v>
      </c>
      <c r="B43" s="332"/>
      <c r="C43" s="332"/>
      <c r="D43" s="92" t="s">
        <v>113</v>
      </c>
      <c r="E43" s="84">
        <f t="shared" ref="E43:G44" si="4">E44</f>
        <v>2789.38</v>
      </c>
      <c r="F43" s="84">
        <f t="shared" si="4"/>
        <v>12000</v>
      </c>
      <c r="G43" s="84">
        <f t="shared" si="4"/>
        <v>7000</v>
      </c>
      <c r="H43" s="84">
        <f>G43*1.015</f>
        <v>7104.9999999999991</v>
      </c>
      <c r="I43" s="279">
        <f>H43*1.015</f>
        <v>7211.574999999998</v>
      </c>
      <c r="K43" s="138"/>
    </row>
    <row r="44" spans="1:11" s="90" customFormat="1" x14ac:dyDescent="0.25">
      <c r="A44" s="327">
        <v>424</v>
      </c>
      <c r="B44" s="328"/>
      <c r="C44" s="328"/>
      <c r="D44" s="139" t="s">
        <v>120</v>
      </c>
      <c r="E44" s="116">
        <f t="shared" si="4"/>
        <v>2789.38</v>
      </c>
      <c r="F44" s="116">
        <f t="shared" si="4"/>
        <v>12000</v>
      </c>
      <c r="G44" s="116">
        <f t="shared" si="4"/>
        <v>7000</v>
      </c>
      <c r="H44" s="60"/>
      <c r="I44" s="63"/>
    </row>
    <row r="45" spans="1:11" s="83" customFormat="1" x14ac:dyDescent="0.25">
      <c r="A45" s="329">
        <v>4241</v>
      </c>
      <c r="B45" s="330"/>
      <c r="C45" s="330"/>
      <c r="D45" s="154" t="s">
        <v>120</v>
      </c>
      <c r="E45" s="97">
        <v>2789.38</v>
      </c>
      <c r="F45" s="97">
        <v>12000</v>
      </c>
      <c r="G45" s="97">
        <v>7000</v>
      </c>
      <c r="H45" s="95"/>
      <c r="I45" s="96"/>
    </row>
    <row r="46" spans="1:11" s="90" customFormat="1" ht="15" customHeight="1" x14ac:dyDescent="0.25">
      <c r="A46" s="335" t="s">
        <v>121</v>
      </c>
      <c r="B46" s="336"/>
      <c r="C46" s="336"/>
      <c r="D46" s="180" t="s">
        <v>122</v>
      </c>
      <c r="E46" s="181">
        <f>E47+E68+600</f>
        <v>35651.875</v>
      </c>
      <c r="F46" s="182">
        <f>F47+F68+600</f>
        <v>25650</v>
      </c>
      <c r="G46" s="181">
        <f>G47+G68</f>
        <v>29982</v>
      </c>
      <c r="H46" s="181">
        <f>H47+H68</f>
        <v>30431.729999999996</v>
      </c>
      <c r="I46" s="247">
        <f>I47+I68</f>
        <v>30888.205949999992</v>
      </c>
      <c r="K46" s="138"/>
    </row>
    <row r="47" spans="1:11" s="90" customFormat="1" x14ac:dyDescent="0.25">
      <c r="A47" s="331">
        <v>3</v>
      </c>
      <c r="B47" s="332"/>
      <c r="C47" s="332"/>
      <c r="D47" s="92" t="s">
        <v>9</v>
      </c>
      <c r="E47" s="84">
        <f>E48+E55</f>
        <v>34181.945</v>
      </c>
      <c r="F47" s="84">
        <f>F48+F55</f>
        <v>24400</v>
      </c>
      <c r="G47" s="84">
        <f>G48+G55</f>
        <v>29382</v>
      </c>
      <c r="H47" s="84">
        <f>H48+H55</f>
        <v>29822.729999999996</v>
      </c>
      <c r="I47" s="279">
        <f>I48+I55</f>
        <v>30270.070949999994</v>
      </c>
      <c r="K47" s="138"/>
    </row>
    <row r="48" spans="1:11" s="90" customFormat="1" x14ac:dyDescent="0.25">
      <c r="A48" s="331">
        <v>31</v>
      </c>
      <c r="B48" s="332"/>
      <c r="C48" s="332"/>
      <c r="D48" s="92" t="s">
        <v>10</v>
      </c>
      <c r="E48" s="84">
        <f>E49+E51+E53</f>
        <v>9521.125</v>
      </c>
      <c r="F48" s="84">
        <f>F49+F51+F53</f>
        <v>9400</v>
      </c>
      <c r="G48" s="84">
        <f>G49+G51+G53</f>
        <v>13800</v>
      </c>
      <c r="H48" s="84">
        <f>G48*1.015</f>
        <v>14006.999999999998</v>
      </c>
      <c r="I48" s="279">
        <f>H48*1.015</f>
        <v>14217.104999999996</v>
      </c>
      <c r="K48" s="138"/>
    </row>
    <row r="49" spans="1:11" s="90" customFormat="1" x14ac:dyDescent="0.25">
      <c r="A49" s="337">
        <v>311</v>
      </c>
      <c r="B49" s="338"/>
      <c r="C49" s="339"/>
      <c r="D49" s="139" t="s">
        <v>66</v>
      </c>
      <c r="E49" s="84">
        <f>SUM(E50)</f>
        <v>7700.5349999999999</v>
      </c>
      <c r="F49" s="84">
        <f>SUM(F50)</f>
        <v>7200</v>
      </c>
      <c r="G49" s="84">
        <f>SUM(G50)</f>
        <v>10925</v>
      </c>
      <c r="H49" s="84"/>
      <c r="I49" s="279"/>
      <c r="K49" s="138"/>
    </row>
    <row r="50" spans="1:11" s="83" customFormat="1" x14ac:dyDescent="0.25">
      <c r="A50" s="329">
        <v>3111</v>
      </c>
      <c r="B50" s="330"/>
      <c r="C50" s="330"/>
      <c r="D50" s="93" t="s">
        <v>67</v>
      </c>
      <c r="E50" s="97">
        <f>(14838.27/2)+(562.8/2)</f>
        <v>7700.5349999999999</v>
      </c>
      <c r="F50" s="97">
        <v>7200</v>
      </c>
      <c r="G50" s="97">
        <v>10925</v>
      </c>
      <c r="H50" s="95"/>
      <c r="I50" s="142"/>
    </row>
    <row r="51" spans="1:11" s="90" customFormat="1" x14ac:dyDescent="0.25">
      <c r="A51" s="327">
        <v>312</v>
      </c>
      <c r="B51" s="328"/>
      <c r="C51" s="328"/>
      <c r="D51" s="139" t="s">
        <v>70</v>
      </c>
      <c r="E51" s="116">
        <f>E52</f>
        <v>550</v>
      </c>
      <c r="F51" s="116">
        <f>F52</f>
        <v>700</v>
      </c>
      <c r="G51" s="116">
        <f>G52</f>
        <v>400</v>
      </c>
      <c r="H51" s="60"/>
      <c r="I51" s="70"/>
    </row>
    <row r="52" spans="1:11" s="83" customFormat="1" x14ac:dyDescent="0.25">
      <c r="A52" s="329">
        <v>3121</v>
      </c>
      <c r="B52" s="330"/>
      <c r="C52" s="330"/>
      <c r="D52" s="154" t="s">
        <v>70</v>
      </c>
      <c r="E52" s="97">
        <f>300+150+100</f>
        <v>550</v>
      </c>
      <c r="F52" s="97">
        <v>700</v>
      </c>
      <c r="G52" s="97">
        <v>400</v>
      </c>
      <c r="H52" s="95"/>
      <c r="I52" s="142"/>
    </row>
    <row r="53" spans="1:11" s="90" customFormat="1" x14ac:dyDescent="0.25">
      <c r="A53" s="327">
        <v>313</v>
      </c>
      <c r="B53" s="328"/>
      <c r="C53" s="328"/>
      <c r="D53" s="139" t="s">
        <v>71</v>
      </c>
      <c r="E53" s="116">
        <f>E54</f>
        <v>1270.5899999999999</v>
      </c>
      <c r="F53" s="116">
        <f>F54</f>
        <v>1500</v>
      </c>
      <c r="G53" s="116">
        <f>G54</f>
        <v>2475</v>
      </c>
      <c r="H53" s="60"/>
      <c r="I53" s="70"/>
    </row>
    <row r="54" spans="1:11" s="83" customFormat="1" x14ac:dyDescent="0.25">
      <c r="A54" s="329">
        <v>3132</v>
      </c>
      <c r="B54" s="330"/>
      <c r="C54" s="330"/>
      <c r="D54" s="154" t="s">
        <v>72</v>
      </c>
      <c r="E54" s="97">
        <v>1270.5899999999999</v>
      </c>
      <c r="F54" s="97">
        <v>1500</v>
      </c>
      <c r="G54" s="97">
        <v>2475</v>
      </c>
      <c r="H54" s="95"/>
      <c r="I54" s="142"/>
    </row>
    <row r="55" spans="1:11" s="90" customFormat="1" x14ac:dyDescent="0.25">
      <c r="A55" s="331">
        <v>32</v>
      </c>
      <c r="B55" s="332"/>
      <c r="C55" s="332"/>
      <c r="D55" s="92" t="s">
        <v>21</v>
      </c>
      <c r="E55" s="84">
        <f>E56+E58+E62+E64</f>
        <v>24660.82</v>
      </c>
      <c r="F55" s="84">
        <f>F56+F58+F62+F64</f>
        <v>15000</v>
      </c>
      <c r="G55" s="84">
        <f>G56+G58+G62+G64</f>
        <v>15582</v>
      </c>
      <c r="H55" s="84">
        <f>G55*1.015</f>
        <v>15815.729999999998</v>
      </c>
      <c r="I55" s="279">
        <f>H55*1.015</f>
        <v>16052.965949999996</v>
      </c>
      <c r="K55" s="138"/>
    </row>
    <row r="56" spans="1:11" s="90" customFormat="1" x14ac:dyDescent="0.25">
      <c r="A56" s="327">
        <v>321</v>
      </c>
      <c r="B56" s="328"/>
      <c r="C56" s="328"/>
      <c r="D56" s="137" t="s">
        <v>74</v>
      </c>
      <c r="E56" s="116">
        <f>SUM(E57)</f>
        <v>363.7</v>
      </c>
      <c r="F56" s="116">
        <f>SUM(F57)</f>
        <v>1000</v>
      </c>
      <c r="G56" s="116">
        <f>SUM(G57)</f>
        <v>300</v>
      </c>
      <c r="H56" s="60"/>
      <c r="I56" s="70"/>
    </row>
    <row r="57" spans="1:11" s="83" customFormat="1" x14ac:dyDescent="0.25">
      <c r="A57" s="329">
        <v>3212</v>
      </c>
      <c r="B57" s="330"/>
      <c r="C57" s="330"/>
      <c r="D57" s="143" t="s">
        <v>75</v>
      </c>
      <c r="E57" s="97">
        <v>363.7</v>
      </c>
      <c r="F57" s="97">
        <v>1000</v>
      </c>
      <c r="G57" s="97">
        <v>300</v>
      </c>
      <c r="H57" s="95"/>
      <c r="I57" s="142"/>
    </row>
    <row r="58" spans="1:11" s="90" customFormat="1" x14ac:dyDescent="0.25">
      <c r="A58" s="343">
        <v>322</v>
      </c>
      <c r="B58" s="344"/>
      <c r="C58" s="344"/>
      <c r="D58" s="115" t="s">
        <v>110</v>
      </c>
      <c r="E58" s="116">
        <f>SUM(E59:E61)</f>
        <v>7771.45</v>
      </c>
      <c r="F58" s="116">
        <f>SUM(F59:F61)</f>
        <v>5000</v>
      </c>
      <c r="G58" s="116">
        <f>SUM(G59:G61)</f>
        <v>5782</v>
      </c>
      <c r="H58" s="60"/>
      <c r="I58" s="70"/>
    </row>
    <row r="59" spans="1:11" s="83" customFormat="1" x14ac:dyDescent="0.25">
      <c r="A59" s="329">
        <v>3221</v>
      </c>
      <c r="B59" s="330"/>
      <c r="C59" s="330"/>
      <c r="D59" s="93" t="s">
        <v>111</v>
      </c>
      <c r="E59" s="97">
        <f>3347.49+143.53+3744.54</f>
        <v>7235.5599999999995</v>
      </c>
      <c r="F59" s="97"/>
      <c r="G59" s="97">
        <v>3132</v>
      </c>
      <c r="H59" s="95"/>
      <c r="I59" s="142"/>
    </row>
    <row r="60" spans="1:11" s="83" customFormat="1" x14ac:dyDescent="0.25">
      <c r="A60" s="329">
        <v>3222</v>
      </c>
      <c r="B60" s="330"/>
      <c r="C60" s="330"/>
      <c r="D60" s="93" t="s">
        <v>77</v>
      </c>
      <c r="E60" s="97">
        <v>0</v>
      </c>
      <c r="F60" s="97">
        <v>5000</v>
      </c>
      <c r="G60" s="97">
        <v>2000</v>
      </c>
      <c r="H60" s="95"/>
      <c r="I60" s="142"/>
    </row>
    <row r="61" spans="1:11" s="83" customFormat="1" x14ac:dyDescent="0.25">
      <c r="A61" s="329">
        <v>3225</v>
      </c>
      <c r="B61" s="330"/>
      <c r="C61" s="330"/>
      <c r="D61" s="93" t="s">
        <v>78</v>
      </c>
      <c r="E61" s="97">
        <v>535.89</v>
      </c>
      <c r="F61" s="97">
        <v>0</v>
      </c>
      <c r="G61" s="97">
        <v>650</v>
      </c>
      <c r="H61" s="95"/>
      <c r="I61" s="142"/>
    </row>
    <row r="62" spans="1:11" s="90" customFormat="1" x14ac:dyDescent="0.25">
      <c r="A62" s="327">
        <v>323</v>
      </c>
      <c r="B62" s="328"/>
      <c r="C62" s="328"/>
      <c r="D62" s="115" t="s">
        <v>79</v>
      </c>
      <c r="E62" s="116">
        <f>SUM(E63:E63)+60+52.5+194.01+1713.15</f>
        <v>2673.26</v>
      </c>
      <c r="F62" s="116">
        <f>SUM(F63:F63)</f>
        <v>2000</v>
      </c>
      <c r="G62" s="116">
        <f>SUM(G63:G63)</f>
        <v>8000</v>
      </c>
      <c r="H62" s="60"/>
      <c r="I62" s="70"/>
    </row>
    <row r="63" spans="1:11" s="83" customFormat="1" x14ac:dyDescent="0.25">
      <c r="A63" s="329">
        <v>3239</v>
      </c>
      <c r="B63" s="330"/>
      <c r="C63" s="330"/>
      <c r="D63" s="93" t="s">
        <v>81</v>
      </c>
      <c r="E63" s="97">
        <v>653.6</v>
      </c>
      <c r="F63" s="97">
        <v>2000</v>
      </c>
      <c r="G63" s="97">
        <v>8000</v>
      </c>
      <c r="H63" s="95"/>
      <c r="I63" s="142"/>
    </row>
    <row r="64" spans="1:11" s="90" customFormat="1" x14ac:dyDescent="0.25">
      <c r="A64" s="327">
        <v>329</v>
      </c>
      <c r="B64" s="328"/>
      <c r="C64" s="328"/>
      <c r="D64" s="115" t="s">
        <v>108</v>
      </c>
      <c r="E64" s="116">
        <f>SUM(E65:E67)+33.18+10.62</f>
        <v>13852.410000000002</v>
      </c>
      <c r="F64" s="116">
        <f>SUM(F65:F67)</f>
        <v>7000</v>
      </c>
      <c r="G64" s="116">
        <f>SUM(G65:G67)</f>
        <v>1500</v>
      </c>
      <c r="H64" s="60"/>
      <c r="I64" s="70"/>
    </row>
    <row r="65" spans="1:11" s="83" customFormat="1" x14ac:dyDescent="0.25">
      <c r="A65" s="329">
        <v>3291</v>
      </c>
      <c r="B65" s="330"/>
      <c r="C65" s="330"/>
      <c r="D65" s="93" t="s">
        <v>157</v>
      </c>
      <c r="E65" s="97">
        <v>389.66</v>
      </c>
      <c r="F65" s="97">
        <v>0</v>
      </c>
      <c r="G65" s="97">
        <v>400</v>
      </c>
      <c r="H65" s="95"/>
      <c r="I65" s="142"/>
    </row>
    <row r="66" spans="1:11" s="83" customFormat="1" x14ac:dyDescent="0.25">
      <c r="A66" s="329">
        <v>3294</v>
      </c>
      <c r="B66" s="330"/>
      <c r="C66" s="330"/>
      <c r="D66" s="93" t="s">
        <v>93</v>
      </c>
      <c r="E66" s="97">
        <v>163.09</v>
      </c>
      <c r="F66" s="97">
        <v>0</v>
      </c>
      <c r="G66" s="97">
        <v>200</v>
      </c>
      <c r="H66" s="95"/>
      <c r="I66" s="142"/>
    </row>
    <row r="67" spans="1:11" s="83" customFormat="1" x14ac:dyDescent="0.25">
      <c r="A67" s="329">
        <v>3299</v>
      </c>
      <c r="B67" s="330"/>
      <c r="C67" s="330"/>
      <c r="D67" s="93" t="s">
        <v>108</v>
      </c>
      <c r="E67" s="97">
        <f>12383.86+872</f>
        <v>13255.86</v>
      </c>
      <c r="F67" s="97">
        <v>7000</v>
      </c>
      <c r="G67" s="97">
        <v>900</v>
      </c>
      <c r="H67" s="95"/>
      <c r="I67" s="142"/>
    </row>
    <row r="68" spans="1:11" s="90" customFormat="1" ht="25.5" x14ac:dyDescent="0.25">
      <c r="A68" s="347">
        <v>4</v>
      </c>
      <c r="B68" s="348"/>
      <c r="C68" s="348"/>
      <c r="D68" s="92" t="s">
        <v>145</v>
      </c>
      <c r="E68" s="84">
        <f>E69</f>
        <v>869.93</v>
      </c>
      <c r="F68" s="84">
        <f>F69</f>
        <v>650</v>
      </c>
      <c r="G68" s="84">
        <f>G69</f>
        <v>600</v>
      </c>
      <c r="H68" s="84">
        <f>H69</f>
        <v>608.99999999999989</v>
      </c>
      <c r="I68" s="279">
        <f>I69</f>
        <v>618.13499999999988</v>
      </c>
      <c r="K68" s="138"/>
    </row>
    <row r="69" spans="1:11" s="90" customFormat="1" x14ac:dyDescent="0.25">
      <c r="A69" s="347">
        <v>42</v>
      </c>
      <c r="B69" s="348"/>
      <c r="C69" s="348"/>
      <c r="D69" s="92" t="s">
        <v>113</v>
      </c>
      <c r="E69" s="84">
        <f>E70</f>
        <v>869.93</v>
      </c>
      <c r="F69" s="84">
        <f>F70</f>
        <v>650</v>
      </c>
      <c r="G69" s="84">
        <f>G70</f>
        <v>600</v>
      </c>
      <c r="H69" s="84">
        <f>G69*1.015</f>
        <v>608.99999999999989</v>
      </c>
      <c r="I69" s="279">
        <f>H69*1.015</f>
        <v>618.13499999999988</v>
      </c>
      <c r="K69" s="138"/>
    </row>
    <row r="70" spans="1:11" s="90" customFormat="1" x14ac:dyDescent="0.25">
      <c r="A70" s="327">
        <v>424</v>
      </c>
      <c r="B70" s="328"/>
      <c r="C70" s="328"/>
      <c r="D70" s="139" t="s">
        <v>120</v>
      </c>
      <c r="E70" s="116">
        <f>SUM(E71)</f>
        <v>869.93</v>
      </c>
      <c r="F70" s="116">
        <f>SUM(F71)</f>
        <v>650</v>
      </c>
      <c r="G70" s="116">
        <f t="shared" ref="G70" si="5">SUM(G71)</f>
        <v>600</v>
      </c>
      <c r="H70" s="60"/>
      <c r="I70" s="63"/>
    </row>
    <row r="71" spans="1:11" s="83" customFormat="1" x14ac:dyDescent="0.25">
      <c r="A71" s="329">
        <v>4241</v>
      </c>
      <c r="B71" s="330"/>
      <c r="C71" s="330"/>
      <c r="D71" s="154" t="s">
        <v>120</v>
      </c>
      <c r="E71" s="97">
        <v>869.93</v>
      </c>
      <c r="F71" s="97">
        <v>650</v>
      </c>
      <c r="G71" s="97">
        <v>600</v>
      </c>
      <c r="H71" s="95"/>
      <c r="I71" s="96"/>
    </row>
    <row r="72" spans="1:11" s="90" customFormat="1" x14ac:dyDescent="0.25">
      <c r="A72" s="335" t="s">
        <v>127</v>
      </c>
      <c r="B72" s="336"/>
      <c r="C72" s="336"/>
      <c r="D72" s="180" t="s">
        <v>95</v>
      </c>
      <c r="E72" s="182">
        <f>E73</f>
        <v>4642.6900000000005</v>
      </c>
      <c r="F72" s="182">
        <f>F73</f>
        <v>1500</v>
      </c>
      <c r="G72" s="181">
        <f>G73</f>
        <v>3000</v>
      </c>
      <c r="H72" s="181">
        <f>H73</f>
        <v>3044.9999999999995</v>
      </c>
      <c r="I72" s="247">
        <f>I73</f>
        <v>3090.6749999999993</v>
      </c>
      <c r="K72" s="138"/>
    </row>
    <row r="73" spans="1:11" s="90" customFormat="1" ht="25.5" x14ac:dyDescent="0.25">
      <c r="A73" s="331">
        <v>4</v>
      </c>
      <c r="B73" s="332"/>
      <c r="C73" s="332"/>
      <c r="D73" s="92" t="s">
        <v>145</v>
      </c>
      <c r="E73" s="84">
        <f t="shared" ref="E73:F73" si="6">E74</f>
        <v>4642.6900000000005</v>
      </c>
      <c r="F73" s="84">
        <f t="shared" si="6"/>
        <v>1500</v>
      </c>
      <c r="G73" s="84">
        <f>G74</f>
        <v>3000</v>
      </c>
      <c r="H73" s="84">
        <f>H74</f>
        <v>3044.9999999999995</v>
      </c>
      <c r="I73" s="279">
        <f>I74</f>
        <v>3090.6749999999993</v>
      </c>
      <c r="K73" s="138"/>
    </row>
    <row r="74" spans="1:11" s="90" customFormat="1" x14ac:dyDescent="0.25">
      <c r="A74" s="331">
        <v>42</v>
      </c>
      <c r="B74" s="332"/>
      <c r="C74" s="332"/>
      <c r="D74" s="92" t="s">
        <v>113</v>
      </c>
      <c r="E74" s="84">
        <f>E75+369</f>
        <v>4642.6900000000005</v>
      </c>
      <c r="F74" s="84">
        <f t="shared" ref="F74" si="7">F75</f>
        <v>1500</v>
      </c>
      <c r="G74" s="84">
        <f>G75</f>
        <v>3000</v>
      </c>
      <c r="H74" s="84">
        <f>G74*1.015</f>
        <v>3044.9999999999995</v>
      </c>
      <c r="I74" s="279">
        <f>H74*1.015</f>
        <v>3090.6749999999993</v>
      </c>
      <c r="K74" s="138"/>
    </row>
    <row r="75" spans="1:11" s="90" customFormat="1" x14ac:dyDescent="0.25">
      <c r="A75" s="327">
        <v>422</v>
      </c>
      <c r="B75" s="328"/>
      <c r="C75" s="328"/>
      <c r="D75" s="139" t="s">
        <v>86</v>
      </c>
      <c r="E75" s="116">
        <f t="shared" ref="E75:G75" si="8">SUM(E76:E77)</f>
        <v>4273.6900000000005</v>
      </c>
      <c r="F75" s="116">
        <f t="shared" si="8"/>
        <v>1500</v>
      </c>
      <c r="G75" s="116">
        <f t="shared" si="8"/>
        <v>3000</v>
      </c>
      <c r="H75" s="60"/>
      <c r="I75" s="63"/>
    </row>
    <row r="76" spans="1:11" s="83" customFormat="1" x14ac:dyDescent="0.25">
      <c r="A76" s="329">
        <v>4221</v>
      </c>
      <c r="B76" s="330"/>
      <c r="C76" s="330"/>
      <c r="D76" s="154" t="s">
        <v>87</v>
      </c>
      <c r="E76" s="97">
        <f>3273.69+1000</f>
        <v>4273.6900000000005</v>
      </c>
      <c r="F76" s="97">
        <v>1500</v>
      </c>
      <c r="G76" s="97">
        <v>3000</v>
      </c>
      <c r="H76" s="95"/>
      <c r="I76" s="96"/>
    </row>
    <row r="77" spans="1:11" s="140" customFormat="1" x14ac:dyDescent="0.25">
      <c r="A77" s="284"/>
      <c r="B77" s="86"/>
      <c r="C77" s="86"/>
      <c r="D77" s="81"/>
      <c r="E77" s="85"/>
      <c r="F77" s="85"/>
      <c r="G77" s="134"/>
      <c r="H77" s="85"/>
      <c r="I77" s="285"/>
      <c r="K77" s="141"/>
    </row>
    <row r="78" spans="1:11" s="90" customFormat="1" x14ac:dyDescent="0.25">
      <c r="A78" s="352" t="s">
        <v>183</v>
      </c>
      <c r="B78" s="353"/>
      <c r="C78" s="353"/>
      <c r="D78" s="354"/>
      <c r="E78" s="274">
        <f t="shared" ref="E78:G79" si="9">E79</f>
        <v>60358.799999999988</v>
      </c>
      <c r="F78" s="274">
        <f t="shared" si="9"/>
        <v>49800</v>
      </c>
      <c r="G78" s="274">
        <f t="shared" si="9"/>
        <v>59000</v>
      </c>
      <c r="H78" s="274">
        <f t="shared" ref="H78:I78" si="10">H79</f>
        <v>59000</v>
      </c>
      <c r="I78" s="286">
        <f t="shared" si="10"/>
        <v>59000</v>
      </c>
      <c r="K78" s="138"/>
    </row>
    <row r="79" spans="1:11" s="90" customFormat="1" x14ac:dyDescent="0.25">
      <c r="A79" s="350" t="s">
        <v>107</v>
      </c>
      <c r="B79" s="351"/>
      <c r="C79" s="351"/>
      <c r="D79" s="91" t="s">
        <v>73</v>
      </c>
      <c r="E79" s="130">
        <f t="shared" si="9"/>
        <v>60358.799999999988</v>
      </c>
      <c r="F79" s="130">
        <f t="shared" si="9"/>
        <v>49800</v>
      </c>
      <c r="G79" s="130">
        <f t="shared" si="9"/>
        <v>59000</v>
      </c>
      <c r="H79" s="130">
        <f>H80</f>
        <v>59000</v>
      </c>
      <c r="I79" s="287">
        <f>I80</f>
        <v>59000</v>
      </c>
      <c r="K79" s="138"/>
    </row>
    <row r="80" spans="1:11" s="90" customFormat="1" x14ac:dyDescent="0.25">
      <c r="A80" s="331">
        <v>3</v>
      </c>
      <c r="B80" s="332"/>
      <c r="C80" s="332"/>
      <c r="D80" s="92" t="s">
        <v>9</v>
      </c>
      <c r="E80" s="84">
        <f>E81+E104</f>
        <v>60358.799999999988</v>
      </c>
      <c r="F80" s="84">
        <f>F81+F104</f>
        <v>49800</v>
      </c>
      <c r="G80" s="84">
        <f>G81+G104</f>
        <v>59000</v>
      </c>
      <c r="H80" s="84">
        <f t="shared" ref="H80:I80" si="11">H81+H104</f>
        <v>59000</v>
      </c>
      <c r="I80" s="279">
        <f t="shared" si="11"/>
        <v>59000</v>
      </c>
      <c r="K80" s="138"/>
    </row>
    <row r="81" spans="1:11" s="90" customFormat="1" x14ac:dyDescent="0.25">
      <c r="A81" s="331">
        <v>32</v>
      </c>
      <c r="B81" s="332"/>
      <c r="C81" s="332"/>
      <c r="D81" s="92" t="s">
        <v>21</v>
      </c>
      <c r="E81" s="84">
        <f>E82+E86+E93+E101</f>
        <v>59420.669999999991</v>
      </c>
      <c r="F81" s="84">
        <f>F82+F86+F93+F101</f>
        <v>49000</v>
      </c>
      <c r="G81" s="84">
        <f>G82+G86+G93+G101</f>
        <v>58000</v>
      </c>
      <c r="H81" s="84">
        <v>58000</v>
      </c>
      <c r="I81" s="279">
        <v>58000</v>
      </c>
      <c r="K81" s="138"/>
    </row>
    <row r="82" spans="1:11" s="90" customFormat="1" x14ac:dyDescent="0.25">
      <c r="A82" s="327">
        <v>321</v>
      </c>
      <c r="B82" s="328"/>
      <c r="C82" s="328"/>
      <c r="D82" s="137" t="s">
        <v>74</v>
      </c>
      <c r="E82" s="116">
        <f>E83+E84+E85</f>
        <v>5106.88</v>
      </c>
      <c r="F82" s="116">
        <f>F83+F84+F85</f>
        <v>4500</v>
      </c>
      <c r="G82" s="116">
        <f>G83+G84+G85</f>
        <v>5100</v>
      </c>
      <c r="H82" s="60"/>
      <c r="I82" s="70"/>
    </row>
    <row r="83" spans="1:11" s="83" customFormat="1" x14ac:dyDescent="0.25">
      <c r="A83" s="329">
        <v>3211</v>
      </c>
      <c r="B83" s="330"/>
      <c r="C83" s="330"/>
      <c r="D83" s="143" t="s">
        <v>85</v>
      </c>
      <c r="E83" s="97">
        <f>1436.85+695.58+1129.31</f>
        <v>3261.74</v>
      </c>
      <c r="F83" s="97">
        <v>3000</v>
      </c>
      <c r="G83" s="97">
        <f>900+800+1300</f>
        <v>3000</v>
      </c>
      <c r="H83" s="95"/>
      <c r="I83" s="142"/>
    </row>
    <row r="84" spans="1:11" s="83" customFormat="1" x14ac:dyDescent="0.25">
      <c r="A84" s="329">
        <v>3213</v>
      </c>
      <c r="B84" s="330"/>
      <c r="C84" s="330"/>
      <c r="D84" s="143" t="s">
        <v>125</v>
      </c>
      <c r="E84" s="97">
        <f>540</f>
        <v>540</v>
      </c>
      <c r="F84" s="97">
        <v>1000</v>
      </c>
      <c r="G84" s="97">
        <v>800</v>
      </c>
      <c r="H84" s="95"/>
      <c r="I84" s="142"/>
    </row>
    <row r="85" spans="1:11" s="83" customFormat="1" x14ac:dyDescent="0.25">
      <c r="A85" s="329">
        <v>3214</v>
      </c>
      <c r="B85" s="330"/>
      <c r="C85" s="330"/>
      <c r="D85" s="143" t="s">
        <v>129</v>
      </c>
      <c r="E85" s="97">
        <f>1305.14</f>
        <v>1305.1400000000001</v>
      </c>
      <c r="F85" s="97">
        <v>500</v>
      </c>
      <c r="G85" s="97">
        <v>1300</v>
      </c>
      <c r="H85" s="95"/>
      <c r="I85" s="142"/>
    </row>
    <row r="86" spans="1:11" s="90" customFormat="1" x14ac:dyDescent="0.25">
      <c r="A86" s="327">
        <v>322</v>
      </c>
      <c r="B86" s="328"/>
      <c r="C86" s="328"/>
      <c r="D86" s="115" t="s">
        <v>110</v>
      </c>
      <c r="E86" s="116">
        <f>SUM(E87:E92)</f>
        <v>34491.99</v>
      </c>
      <c r="F86" s="116">
        <f>SUM(F87:F92)</f>
        <v>28300</v>
      </c>
      <c r="G86" s="116">
        <f>SUM(G87:G92)</f>
        <v>37505</v>
      </c>
      <c r="H86" s="60"/>
      <c r="I86" s="70"/>
    </row>
    <row r="87" spans="1:11" s="83" customFormat="1" x14ac:dyDescent="0.25">
      <c r="A87" s="329">
        <v>3221</v>
      </c>
      <c r="B87" s="330"/>
      <c r="C87" s="330"/>
      <c r="D87" s="93" t="s">
        <v>111</v>
      </c>
      <c r="E87" s="97">
        <f>327.06+360.47+1384.46+63.38+70.61+574.99+4321.37+3121.5+895.8+117.88</f>
        <v>11237.519999999999</v>
      </c>
      <c r="F87" s="97">
        <v>6000</v>
      </c>
      <c r="G87" s="97">
        <f>550+700+1000+200+235+970+3200</f>
        <v>6855</v>
      </c>
      <c r="H87" s="95"/>
      <c r="I87" s="142"/>
    </row>
    <row r="88" spans="1:11" s="83" customFormat="1" x14ac:dyDescent="0.25">
      <c r="A88" s="329">
        <v>3222</v>
      </c>
      <c r="B88" s="330"/>
      <c r="C88" s="330"/>
      <c r="D88" s="153" t="s">
        <v>77</v>
      </c>
      <c r="E88" s="97">
        <f>476.23</f>
        <v>476.23</v>
      </c>
      <c r="F88" s="97">
        <v>500</v>
      </c>
      <c r="G88" s="97">
        <v>500</v>
      </c>
      <c r="H88" s="95"/>
      <c r="I88" s="142"/>
    </row>
    <row r="89" spans="1:11" s="83" customFormat="1" x14ac:dyDescent="0.25">
      <c r="A89" s="329">
        <v>3223</v>
      </c>
      <c r="B89" s="330"/>
      <c r="C89" s="330"/>
      <c r="D89" s="93" t="s">
        <v>90</v>
      </c>
      <c r="E89" s="97">
        <f>5133.76+3622.32+4421.1+2786.8+415.12</f>
        <v>16379.1</v>
      </c>
      <c r="F89" s="97">
        <v>20000</v>
      </c>
      <c r="G89" s="97">
        <f>9200+14000+300</f>
        <v>23500</v>
      </c>
      <c r="H89" s="95"/>
      <c r="I89" s="142"/>
    </row>
    <row r="90" spans="1:11" s="83" customFormat="1" x14ac:dyDescent="0.25">
      <c r="A90" s="329">
        <v>3224</v>
      </c>
      <c r="B90" s="330"/>
      <c r="C90" s="330"/>
      <c r="D90" s="93" t="s">
        <v>112</v>
      </c>
      <c r="E90" s="97">
        <f>4104.17+874.82</f>
        <v>4978.99</v>
      </c>
      <c r="F90" s="97">
        <v>1000</v>
      </c>
      <c r="G90" s="97">
        <f>3500+500</f>
        <v>4000</v>
      </c>
      <c r="H90" s="95"/>
      <c r="I90" s="142"/>
    </row>
    <row r="91" spans="1:11" s="83" customFormat="1" x14ac:dyDescent="0.25">
      <c r="A91" s="329">
        <v>3225</v>
      </c>
      <c r="B91" s="330"/>
      <c r="C91" s="330"/>
      <c r="D91" s="93" t="s">
        <v>78</v>
      </c>
      <c r="E91" s="97">
        <f>(1758.9-153.45-179.94-202.5)</f>
        <v>1223.01</v>
      </c>
      <c r="F91" s="97">
        <v>500</v>
      </c>
      <c r="G91" s="97">
        <v>2350</v>
      </c>
      <c r="H91" s="95"/>
      <c r="I91" s="142"/>
    </row>
    <row r="92" spans="1:11" s="83" customFormat="1" ht="27.75" customHeight="1" x14ac:dyDescent="0.25">
      <c r="A92" s="329">
        <v>3227</v>
      </c>
      <c r="B92" s="330"/>
      <c r="C92" s="330"/>
      <c r="D92" s="93" t="s">
        <v>123</v>
      </c>
      <c r="E92" s="97">
        <v>197.14</v>
      </c>
      <c r="F92" s="97">
        <v>300</v>
      </c>
      <c r="G92" s="97">
        <v>300</v>
      </c>
      <c r="H92" s="95"/>
      <c r="I92" s="142"/>
    </row>
    <row r="93" spans="1:11" s="90" customFormat="1" x14ac:dyDescent="0.25">
      <c r="A93" s="327">
        <v>323</v>
      </c>
      <c r="B93" s="328"/>
      <c r="C93" s="328"/>
      <c r="D93" s="115" t="s">
        <v>79</v>
      </c>
      <c r="E93" s="116">
        <f>SUM(E94:E100)+248.85</f>
        <v>19309.309999999994</v>
      </c>
      <c r="F93" s="116">
        <f>SUM(F94:F100)</f>
        <v>12600</v>
      </c>
      <c r="G93" s="116">
        <f>SUM(G94:G100)</f>
        <v>14545</v>
      </c>
      <c r="H93" s="60"/>
      <c r="I93" s="70"/>
    </row>
    <row r="94" spans="1:11" s="83" customFormat="1" x14ac:dyDescent="0.25">
      <c r="A94" s="329">
        <v>3231</v>
      </c>
      <c r="B94" s="330"/>
      <c r="C94" s="330"/>
      <c r="D94" s="93" t="s">
        <v>124</v>
      </c>
      <c r="E94" s="97">
        <f>1046.11+167.15+218+211.25-60</f>
        <v>1582.51</v>
      </c>
      <c r="F94" s="97">
        <v>1800</v>
      </c>
      <c r="G94" s="97">
        <v>1310</v>
      </c>
      <c r="H94" s="95"/>
      <c r="I94" s="142"/>
    </row>
    <row r="95" spans="1:11" s="83" customFormat="1" x14ac:dyDescent="0.25">
      <c r="A95" s="329">
        <v>3232</v>
      </c>
      <c r="B95" s="330"/>
      <c r="C95" s="330"/>
      <c r="D95" s="93" t="s">
        <v>156</v>
      </c>
      <c r="E95" s="97">
        <f>2385+508.19+3111.07-52.5</f>
        <v>5951.76</v>
      </c>
      <c r="F95" s="97">
        <v>3000</v>
      </c>
      <c r="G95" s="97">
        <f>400+2500+3000</f>
        <v>5900</v>
      </c>
      <c r="H95" s="95"/>
      <c r="I95" s="142"/>
    </row>
    <row r="96" spans="1:11" s="83" customFormat="1" x14ac:dyDescent="0.25">
      <c r="A96" s="329">
        <v>3234</v>
      </c>
      <c r="B96" s="330"/>
      <c r="C96" s="330"/>
      <c r="D96" s="93" t="s">
        <v>80</v>
      </c>
      <c r="E96" s="97">
        <f>1553.91+1463.58+645.66+263.25+681.25+1073.11</f>
        <v>5680.7599999999993</v>
      </c>
      <c r="F96" s="97">
        <v>3500</v>
      </c>
      <c r="G96" s="97">
        <f>1500+1300+250+450+1073</f>
        <v>4573</v>
      </c>
      <c r="H96" s="95"/>
      <c r="I96" s="142"/>
    </row>
    <row r="97" spans="1:11" s="83" customFormat="1" ht="24" customHeight="1" x14ac:dyDescent="0.25">
      <c r="A97" s="329">
        <v>3236</v>
      </c>
      <c r="B97" s="330"/>
      <c r="C97" s="330"/>
      <c r="D97" s="93" t="s">
        <v>116</v>
      </c>
      <c r="E97" s="97">
        <f>2734.56+703.04</f>
        <v>3437.6</v>
      </c>
      <c r="F97" s="97">
        <v>2500</v>
      </c>
      <c r="G97" s="97">
        <f>65+350</f>
        <v>415</v>
      </c>
      <c r="H97" s="95"/>
      <c r="I97" s="142"/>
    </row>
    <row r="98" spans="1:11" s="83" customFormat="1" x14ac:dyDescent="0.25">
      <c r="A98" s="329">
        <v>3237</v>
      </c>
      <c r="B98" s="330"/>
      <c r="C98" s="330"/>
      <c r="D98" s="93" t="s">
        <v>91</v>
      </c>
      <c r="E98" s="97">
        <f>449.84+969.26</f>
        <v>1419.1</v>
      </c>
      <c r="F98" s="97">
        <v>300</v>
      </c>
      <c r="G98" s="97">
        <v>1000</v>
      </c>
      <c r="H98" s="95"/>
      <c r="I98" s="142"/>
    </row>
    <row r="99" spans="1:11" s="83" customFormat="1" x14ac:dyDescent="0.25">
      <c r="A99" s="329">
        <v>3238</v>
      </c>
      <c r="B99" s="330"/>
      <c r="C99" s="330"/>
      <c r="D99" s="93" t="s">
        <v>92</v>
      </c>
      <c r="E99" s="97">
        <f>65.63+855+36.1</f>
        <v>956.73</v>
      </c>
      <c r="F99" s="97">
        <v>1000</v>
      </c>
      <c r="G99" s="97">
        <f>855+30</f>
        <v>885</v>
      </c>
      <c r="H99" s="95"/>
      <c r="I99" s="142"/>
    </row>
    <row r="100" spans="1:11" s="83" customFormat="1" x14ac:dyDescent="0.25">
      <c r="A100" s="329">
        <v>3239</v>
      </c>
      <c r="B100" s="330"/>
      <c r="C100" s="330"/>
      <c r="D100" s="93" t="s">
        <v>81</v>
      </c>
      <c r="E100" s="97">
        <v>32</v>
      </c>
      <c r="F100" s="97">
        <v>500</v>
      </c>
      <c r="G100" s="97">
        <v>462</v>
      </c>
      <c r="H100" s="95"/>
      <c r="I100" s="142"/>
    </row>
    <row r="101" spans="1:11" s="90" customFormat="1" x14ac:dyDescent="0.25">
      <c r="A101" s="327">
        <v>329</v>
      </c>
      <c r="B101" s="328"/>
      <c r="C101" s="328"/>
      <c r="D101" s="115" t="s">
        <v>108</v>
      </c>
      <c r="E101" s="116">
        <f>SUM(E102:E103)</f>
        <v>512.49</v>
      </c>
      <c r="F101" s="116">
        <f>SUM(F102:F103)</f>
        <v>3600</v>
      </c>
      <c r="G101" s="116">
        <f>SUM(G102:G103)</f>
        <v>850</v>
      </c>
      <c r="H101" s="60"/>
      <c r="I101" s="70"/>
    </row>
    <row r="102" spans="1:11" s="83" customFormat="1" x14ac:dyDescent="0.25">
      <c r="A102" s="329">
        <v>3295</v>
      </c>
      <c r="B102" s="330"/>
      <c r="C102" s="330"/>
      <c r="D102" s="93" t="s">
        <v>94</v>
      </c>
      <c r="E102" s="97">
        <v>266.08</v>
      </c>
      <c r="F102" s="97">
        <v>400</v>
      </c>
      <c r="G102" s="97">
        <v>150</v>
      </c>
      <c r="H102" s="95"/>
      <c r="I102" s="142"/>
    </row>
    <row r="103" spans="1:11" s="83" customFormat="1" x14ac:dyDescent="0.25">
      <c r="A103" s="329">
        <v>3299</v>
      </c>
      <c r="B103" s="330"/>
      <c r="C103" s="330"/>
      <c r="D103" s="93" t="s">
        <v>108</v>
      </c>
      <c r="E103" s="97">
        <f>21.36+225.05</f>
        <v>246.41000000000003</v>
      </c>
      <c r="F103" s="97">
        <v>3200</v>
      </c>
      <c r="G103" s="97">
        <v>700</v>
      </c>
      <c r="H103" s="95"/>
      <c r="I103" s="142"/>
    </row>
    <row r="104" spans="1:11" s="90" customFormat="1" x14ac:dyDescent="0.25">
      <c r="A104" s="327">
        <v>34</v>
      </c>
      <c r="B104" s="328"/>
      <c r="C104" s="328"/>
      <c r="D104" s="136" t="s">
        <v>65</v>
      </c>
      <c r="E104" s="126">
        <f t="shared" ref="E104:G105" si="12">SUM(E105)</f>
        <v>938.13</v>
      </c>
      <c r="F104" s="126">
        <f t="shared" si="12"/>
        <v>800</v>
      </c>
      <c r="G104" s="126">
        <f t="shared" si="12"/>
        <v>1000</v>
      </c>
      <c r="H104" s="117">
        <v>1000</v>
      </c>
      <c r="I104" s="282">
        <v>1000</v>
      </c>
    </row>
    <row r="105" spans="1:11" s="90" customFormat="1" x14ac:dyDescent="0.25">
      <c r="A105" s="327">
        <v>343</v>
      </c>
      <c r="B105" s="328"/>
      <c r="C105" s="328"/>
      <c r="D105" s="115" t="s">
        <v>96</v>
      </c>
      <c r="E105" s="116">
        <f>SUM(E106)+2.13</f>
        <v>938.13</v>
      </c>
      <c r="F105" s="116">
        <f t="shared" si="12"/>
        <v>800</v>
      </c>
      <c r="G105" s="116">
        <f t="shared" si="12"/>
        <v>1000</v>
      </c>
      <c r="H105" s="60"/>
      <c r="I105" s="63"/>
    </row>
    <row r="106" spans="1:11" s="83" customFormat="1" ht="15.75" thickBot="1" x14ac:dyDescent="0.3">
      <c r="A106" s="333">
        <v>3431</v>
      </c>
      <c r="B106" s="334"/>
      <c r="C106" s="334"/>
      <c r="D106" s="288" t="s">
        <v>126</v>
      </c>
      <c r="E106" s="148">
        <v>936</v>
      </c>
      <c r="F106" s="148">
        <v>800</v>
      </c>
      <c r="G106" s="148">
        <v>1000</v>
      </c>
      <c r="H106" s="145"/>
      <c r="I106" s="146"/>
    </row>
    <row r="107" spans="1:11" s="90" customFormat="1" ht="15.75" thickBot="1" x14ac:dyDescent="0.3">
      <c r="A107" s="86"/>
      <c r="B107" s="86"/>
      <c r="C107" s="86"/>
      <c r="D107" s="81"/>
      <c r="E107" s="85"/>
      <c r="F107" s="85"/>
      <c r="G107" s="134"/>
      <c r="H107" s="85"/>
      <c r="I107" s="85"/>
      <c r="K107" s="138"/>
    </row>
    <row r="108" spans="1:11" s="90" customFormat="1" x14ac:dyDescent="0.25">
      <c r="A108" s="340" t="s">
        <v>182</v>
      </c>
      <c r="B108" s="341"/>
      <c r="C108" s="341"/>
      <c r="D108" s="342"/>
      <c r="E108" s="276">
        <f>E121+E109</f>
        <v>38781.42</v>
      </c>
      <c r="F108" s="276">
        <f>F121+F109</f>
        <v>37300</v>
      </c>
      <c r="G108" s="277">
        <f>G121+G109</f>
        <v>52189</v>
      </c>
      <c r="H108" s="277">
        <f t="shared" ref="H108:I108" si="13">H121+H109</f>
        <v>52971.834999999999</v>
      </c>
      <c r="I108" s="278">
        <f t="shared" si="13"/>
        <v>53766.412524999992</v>
      </c>
      <c r="K108" s="138"/>
    </row>
    <row r="109" spans="1:11" s="90" customFormat="1" ht="18" customHeight="1" x14ac:dyDescent="0.25">
      <c r="A109" s="335" t="s">
        <v>107</v>
      </c>
      <c r="B109" s="336"/>
      <c r="C109" s="336"/>
      <c r="D109" s="180" t="s">
        <v>73</v>
      </c>
      <c r="E109" s="181">
        <f>E110</f>
        <v>6359.5859999999993</v>
      </c>
      <c r="F109" s="181">
        <f>F110</f>
        <v>3500</v>
      </c>
      <c r="G109" s="181">
        <f>G110</f>
        <v>5485</v>
      </c>
      <c r="H109" s="181">
        <f t="shared" ref="H109:I109" si="14">H110</f>
        <v>5567.2749999999996</v>
      </c>
      <c r="I109" s="247">
        <f t="shared" si="14"/>
        <v>5650.7841249999992</v>
      </c>
      <c r="K109" s="138"/>
    </row>
    <row r="110" spans="1:11" s="90" customFormat="1" x14ac:dyDescent="0.25">
      <c r="A110" s="331">
        <v>3</v>
      </c>
      <c r="B110" s="332"/>
      <c r="C110" s="332"/>
      <c r="D110" s="92" t="s">
        <v>9</v>
      </c>
      <c r="E110" s="84">
        <f>E111+E118</f>
        <v>6359.5859999999993</v>
      </c>
      <c r="F110" s="84">
        <f>F111+F118</f>
        <v>3500</v>
      </c>
      <c r="G110" s="84">
        <f>G111+G118</f>
        <v>5485</v>
      </c>
      <c r="H110" s="84">
        <f t="shared" ref="H110:I110" si="15">H111+H118</f>
        <v>5567.2749999999996</v>
      </c>
      <c r="I110" s="279">
        <f t="shared" si="15"/>
        <v>5650.7841249999992</v>
      </c>
      <c r="K110" s="138"/>
    </row>
    <row r="111" spans="1:11" s="90" customFormat="1" x14ac:dyDescent="0.25">
      <c r="A111" s="331">
        <v>31</v>
      </c>
      <c r="B111" s="332"/>
      <c r="C111" s="332"/>
      <c r="D111" s="92" t="s">
        <v>10</v>
      </c>
      <c r="E111" s="84">
        <f>E112+E116+E114</f>
        <v>4159.8389999999999</v>
      </c>
      <c r="F111" s="84">
        <f>F112+F116+F114</f>
        <v>3400</v>
      </c>
      <c r="G111" s="84">
        <f>G112+G116+G114</f>
        <v>5395</v>
      </c>
      <c r="H111" s="84">
        <f>G111*1.015</f>
        <v>5475.9249999999993</v>
      </c>
      <c r="I111" s="279">
        <f>H111*1.015</f>
        <v>5558.0638749999989</v>
      </c>
      <c r="K111" s="138"/>
    </row>
    <row r="112" spans="1:11" s="90" customFormat="1" x14ac:dyDescent="0.25">
      <c r="A112" s="337">
        <v>311</v>
      </c>
      <c r="B112" s="338"/>
      <c r="C112" s="339"/>
      <c r="D112" s="139" t="s">
        <v>66</v>
      </c>
      <c r="E112" s="84">
        <f>SUM(E113)</f>
        <v>2686.5560000000005</v>
      </c>
      <c r="F112" s="84">
        <f>SUM(F113)</f>
        <v>2100</v>
      </c>
      <c r="G112" s="84">
        <f>SUM(G113)</f>
        <v>4125</v>
      </c>
      <c r="H112" s="84"/>
      <c r="I112" s="279"/>
      <c r="K112" s="138"/>
    </row>
    <row r="113" spans="1:11" s="83" customFormat="1" x14ac:dyDescent="0.25">
      <c r="A113" s="329">
        <v>3111</v>
      </c>
      <c r="B113" s="330"/>
      <c r="C113" s="330"/>
      <c r="D113" s="93" t="s">
        <v>67</v>
      </c>
      <c r="E113" s="97">
        <f>26865.56*0.1</f>
        <v>2686.5560000000005</v>
      </c>
      <c r="F113" s="97">
        <v>2100</v>
      </c>
      <c r="G113" s="97">
        <f>4125</f>
        <v>4125</v>
      </c>
      <c r="H113" s="95"/>
      <c r="I113" s="142"/>
    </row>
    <row r="114" spans="1:11" s="90" customFormat="1" x14ac:dyDescent="0.25">
      <c r="A114" s="327">
        <v>312</v>
      </c>
      <c r="B114" s="328"/>
      <c r="C114" s="328"/>
      <c r="D114" s="139" t="s">
        <v>70</v>
      </c>
      <c r="E114" s="116">
        <f>E115</f>
        <v>1030</v>
      </c>
      <c r="F114" s="116">
        <f>F115</f>
        <v>700</v>
      </c>
      <c r="G114" s="116">
        <f>G115</f>
        <v>590</v>
      </c>
      <c r="H114" s="60"/>
      <c r="I114" s="70"/>
    </row>
    <row r="115" spans="1:11" s="83" customFormat="1" x14ac:dyDescent="0.25">
      <c r="A115" s="329">
        <v>3121</v>
      </c>
      <c r="B115" s="330"/>
      <c r="C115" s="330"/>
      <c r="D115" s="154" t="s">
        <v>70</v>
      </c>
      <c r="E115" s="97">
        <f>150+180+700</f>
        <v>1030</v>
      </c>
      <c r="F115" s="97">
        <v>700</v>
      </c>
      <c r="G115" s="97">
        <f>590</f>
        <v>590</v>
      </c>
      <c r="H115" s="95"/>
      <c r="I115" s="142"/>
    </row>
    <row r="116" spans="1:11" s="90" customFormat="1" x14ac:dyDescent="0.25">
      <c r="A116" s="327">
        <v>313</v>
      </c>
      <c r="B116" s="328"/>
      <c r="C116" s="328"/>
      <c r="D116" s="139" t="s">
        <v>71</v>
      </c>
      <c r="E116" s="116">
        <f>E117</f>
        <v>443.28300000000002</v>
      </c>
      <c r="F116" s="116">
        <f>F117</f>
        <v>600</v>
      </c>
      <c r="G116" s="116">
        <f>G117</f>
        <v>680</v>
      </c>
      <c r="H116" s="60"/>
      <c r="I116" s="70"/>
    </row>
    <row r="117" spans="1:11" s="83" customFormat="1" x14ac:dyDescent="0.25">
      <c r="A117" s="329">
        <v>3132</v>
      </c>
      <c r="B117" s="330"/>
      <c r="C117" s="330"/>
      <c r="D117" s="154" t="s">
        <v>72</v>
      </c>
      <c r="E117" s="97">
        <f>4432.83*0.1</f>
        <v>443.28300000000002</v>
      </c>
      <c r="F117" s="97">
        <v>600</v>
      </c>
      <c r="G117" s="97">
        <f>680</f>
        <v>680</v>
      </c>
      <c r="H117" s="95"/>
      <c r="I117" s="142"/>
    </row>
    <row r="118" spans="1:11" s="90" customFormat="1" x14ac:dyDescent="0.25">
      <c r="A118" s="331">
        <v>32</v>
      </c>
      <c r="B118" s="332"/>
      <c r="C118" s="332"/>
      <c r="D118" s="92" t="s">
        <v>21</v>
      </c>
      <c r="E118" s="84">
        <f>E119</f>
        <v>2199.7469999999998</v>
      </c>
      <c r="F118" s="84">
        <f>F119</f>
        <v>100</v>
      </c>
      <c r="G118" s="84">
        <f>G119</f>
        <v>90</v>
      </c>
      <c r="H118" s="84">
        <f>G118*1.015</f>
        <v>91.35</v>
      </c>
      <c r="I118" s="279">
        <f>H118*1.015</f>
        <v>92.720249999999979</v>
      </c>
      <c r="K118" s="138"/>
    </row>
    <row r="119" spans="1:11" s="90" customFormat="1" x14ac:dyDescent="0.25">
      <c r="A119" s="327">
        <v>321</v>
      </c>
      <c r="B119" s="328"/>
      <c r="C119" s="328"/>
      <c r="D119" s="137" t="s">
        <v>74</v>
      </c>
      <c r="E119" s="116">
        <f>E120+2057.16</f>
        <v>2199.7469999999998</v>
      </c>
      <c r="F119" s="116">
        <f>F120</f>
        <v>100</v>
      </c>
      <c r="G119" s="116">
        <f>G120</f>
        <v>90</v>
      </c>
      <c r="H119" s="60"/>
      <c r="I119" s="70"/>
    </row>
    <row r="120" spans="1:11" s="83" customFormat="1" x14ac:dyDescent="0.25">
      <c r="A120" s="329">
        <v>3212</v>
      </c>
      <c r="B120" s="330"/>
      <c r="C120" s="330"/>
      <c r="D120" s="143" t="s">
        <v>75</v>
      </c>
      <c r="E120" s="97">
        <f>1425.87*0.1</f>
        <v>142.58699999999999</v>
      </c>
      <c r="F120" s="97">
        <v>100</v>
      </c>
      <c r="G120" s="97">
        <f>90</f>
        <v>90</v>
      </c>
      <c r="H120" s="95"/>
      <c r="I120" s="142"/>
    </row>
    <row r="121" spans="1:11" s="90" customFormat="1" ht="18" customHeight="1" x14ac:dyDescent="0.25">
      <c r="A121" s="335" t="s">
        <v>114</v>
      </c>
      <c r="B121" s="336"/>
      <c r="C121" s="336"/>
      <c r="D121" s="169" t="s">
        <v>88</v>
      </c>
      <c r="E121" s="181">
        <f>E122</f>
        <v>32421.833999999999</v>
      </c>
      <c r="F121" s="181">
        <f>F122</f>
        <v>33800</v>
      </c>
      <c r="G121" s="181">
        <f>G122</f>
        <v>46704</v>
      </c>
      <c r="H121" s="181">
        <f t="shared" ref="H121:I121" si="16">H122</f>
        <v>47404.56</v>
      </c>
      <c r="I121" s="247">
        <f t="shared" si="16"/>
        <v>48115.628399999994</v>
      </c>
      <c r="K121" s="138"/>
    </row>
    <row r="122" spans="1:11" s="90" customFormat="1" x14ac:dyDescent="0.25">
      <c r="A122" s="331">
        <v>3</v>
      </c>
      <c r="B122" s="332"/>
      <c r="C122" s="332"/>
      <c r="D122" s="92" t="s">
        <v>9</v>
      </c>
      <c r="E122" s="84">
        <f>E123+E130</f>
        <v>32421.833999999999</v>
      </c>
      <c r="F122" s="84">
        <f>F123+F130</f>
        <v>33800</v>
      </c>
      <c r="G122" s="84">
        <f>G123+G130</f>
        <v>46704</v>
      </c>
      <c r="H122" s="84">
        <f t="shared" ref="H122:I122" si="17">H123+H130</f>
        <v>47404.56</v>
      </c>
      <c r="I122" s="279">
        <f t="shared" si="17"/>
        <v>48115.628399999994</v>
      </c>
      <c r="K122" s="138"/>
    </row>
    <row r="123" spans="1:11" s="90" customFormat="1" x14ac:dyDescent="0.25">
      <c r="A123" s="331">
        <v>31</v>
      </c>
      <c r="B123" s="332"/>
      <c r="C123" s="332"/>
      <c r="D123" s="92" t="s">
        <v>10</v>
      </c>
      <c r="E123" s="84">
        <f>E124+E128+E126</f>
        <v>31138.550999999999</v>
      </c>
      <c r="F123" s="84">
        <f>F124+F128+F126</f>
        <v>32600</v>
      </c>
      <c r="G123" s="84">
        <f>G124+G128+G126</f>
        <v>45864</v>
      </c>
      <c r="H123" s="84">
        <f>G123*1.015</f>
        <v>46551.96</v>
      </c>
      <c r="I123" s="279">
        <f>H123*1.015</f>
        <v>47250.239399999991</v>
      </c>
      <c r="K123" s="138"/>
    </row>
    <row r="124" spans="1:11" s="90" customFormat="1" x14ac:dyDescent="0.25">
      <c r="A124" s="337">
        <v>311</v>
      </c>
      <c r="B124" s="338"/>
      <c r="C124" s="339"/>
      <c r="D124" s="139" t="s">
        <v>66</v>
      </c>
      <c r="E124" s="84">
        <f>E125</f>
        <v>24179.004000000001</v>
      </c>
      <c r="F124" s="84">
        <f>F125</f>
        <v>20000</v>
      </c>
      <c r="G124" s="84">
        <f>G125</f>
        <v>37128</v>
      </c>
      <c r="H124" s="84"/>
      <c r="I124" s="279"/>
      <c r="K124" s="138"/>
    </row>
    <row r="125" spans="1:11" s="83" customFormat="1" x14ac:dyDescent="0.25">
      <c r="A125" s="329">
        <v>3111</v>
      </c>
      <c r="B125" s="330"/>
      <c r="C125" s="330"/>
      <c r="D125" s="93" t="s">
        <v>67</v>
      </c>
      <c r="E125" s="97">
        <f>26865.56*0.9</f>
        <v>24179.004000000001</v>
      </c>
      <c r="F125" s="97">
        <v>20000</v>
      </c>
      <c r="G125" s="97">
        <v>37128</v>
      </c>
      <c r="H125" s="95"/>
      <c r="I125" s="142"/>
    </row>
    <row r="126" spans="1:11" x14ac:dyDescent="0.25">
      <c r="A126" s="325">
        <v>312</v>
      </c>
      <c r="B126" s="326"/>
      <c r="C126" s="326"/>
      <c r="D126" s="153" t="s">
        <v>70</v>
      </c>
      <c r="E126" s="116">
        <f>SUM(E127)</f>
        <v>2970</v>
      </c>
      <c r="F126" s="116">
        <f>SUM(F127)</f>
        <v>8600</v>
      </c>
      <c r="G126" s="116">
        <f>SUM(G127)</f>
        <v>2610</v>
      </c>
      <c r="H126" s="60"/>
      <c r="I126" s="151"/>
    </row>
    <row r="127" spans="1:11" x14ac:dyDescent="0.25">
      <c r="A127" s="325">
        <v>3121</v>
      </c>
      <c r="B127" s="326"/>
      <c r="C127" s="326"/>
      <c r="D127" s="153" t="s">
        <v>70</v>
      </c>
      <c r="E127" s="116">
        <f>1350+1620</f>
        <v>2970</v>
      </c>
      <c r="F127" s="116">
        <v>8600</v>
      </c>
      <c r="G127" s="117">
        <v>2610</v>
      </c>
      <c r="H127" s="60"/>
      <c r="I127" s="151"/>
    </row>
    <row r="128" spans="1:11" s="90" customFormat="1" x14ac:dyDescent="0.25">
      <c r="A128" s="327">
        <v>313</v>
      </c>
      <c r="B128" s="328"/>
      <c r="C128" s="328"/>
      <c r="D128" s="139" t="s">
        <v>71</v>
      </c>
      <c r="E128" s="116">
        <f>E129</f>
        <v>3989.547</v>
      </c>
      <c r="F128" s="116">
        <f>F129</f>
        <v>4000</v>
      </c>
      <c r="G128" s="116">
        <f>G129</f>
        <v>6126</v>
      </c>
      <c r="H128" s="60"/>
      <c r="I128" s="70"/>
    </row>
    <row r="129" spans="1:11" s="83" customFormat="1" x14ac:dyDescent="0.25">
      <c r="A129" s="329">
        <v>3132</v>
      </c>
      <c r="B129" s="330"/>
      <c r="C129" s="330"/>
      <c r="D129" s="154" t="s">
        <v>72</v>
      </c>
      <c r="E129" s="97">
        <f>4432.83*0.9</f>
        <v>3989.547</v>
      </c>
      <c r="F129" s="97">
        <v>4000</v>
      </c>
      <c r="G129" s="97">
        <v>6126</v>
      </c>
      <c r="H129" s="95"/>
      <c r="I129" s="142"/>
    </row>
    <row r="130" spans="1:11" s="90" customFormat="1" x14ac:dyDescent="0.25">
      <c r="A130" s="331">
        <v>32</v>
      </c>
      <c r="B130" s="332"/>
      <c r="C130" s="332"/>
      <c r="D130" s="92" t="s">
        <v>21</v>
      </c>
      <c r="E130" s="84">
        <f t="shared" ref="E130:G131" si="18">E131</f>
        <v>1283.2829999999999</v>
      </c>
      <c r="F130" s="84">
        <f t="shared" si="18"/>
        <v>1200</v>
      </c>
      <c r="G130" s="84">
        <f t="shared" si="18"/>
        <v>840</v>
      </c>
      <c r="H130" s="84">
        <f>G130*1.015</f>
        <v>852.59999999999991</v>
      </c>
      <c r="I130" s="279">
        <f>H130*1.015</f>
        <v>865.38899999999978</v>
      </c>
      <c r="K130" s="138"/>
    </row>
    <row r="131" spans="1:11" s="90" customFormat="1" x14ac:dyDescent="0.25">
      <c r="A131" s="327">
        <v>321</v>
      </c>
      <c r="B131" s="328"/>
      <c r="C131" s="328"/>
      <c r="D131" s="137" t="s">
        <v>74</v>
      </c>
      <c r="E131" s="116">
        <f t="shared" si="18"/>
        <v>1283.2829999999999</v>
      </c>
      <c r="F131" s="116">
        <f t="shared" si="18"/>
        <v>1200</v>
      </c>
      <c r="G131" s="116">
        <f t="shared" si="18"/>
        <v>840</v>
      </c>
      <c r="H131" s="60"/>
      <c r="I131" s="70"/>
    </row>
    <row r="132" spans="1:11" s="83" customFormat="1" ht="15.75" thickBot="1" x14ac:dyDescent="0.3">
      <c r="A132" s="333">
        <v>3212</v>
      </c>
      <c r="B132" s="334"/>
      <c r="C132" s="334"/>
      <c r="D132" s="281" t="s">
        <v>75</v>
      </c>
      <c r="E132" s="148">
        <f>1425.87*0.9</f>
        <v>1283.2829999999999</v>
      </c>
      <c r="F132" s="148">
        <v>1200</v>
      </c>
      <c r="G132" s="148">
        <v>840</v>
      </c>
      <c r="H132" s="145"/>
      <c r="I132" s="146"/>
    </row>
    <row r="133" spans="1:11" s="90" customFormat="1" ht="18.75" thickBot="1" x14ac:dyDescent="0.3">
      <c r="A133" s="25"/>
      <c r="B133" s="25"/>
      <c r="C133" s="25"/>
      <c r="D133" s="25"/>
      <c r="E133" s="147"/>
      <c r="F133" s="152"/>
      <c r="G133" s="147"/>
      <c r="H133" s="5"/>
      <c r="I133" s="5"/>
      <c r="K133" s="138"/>
    </row>
    <row r="134" spans="1:11" s="90" customFormat="1" x14ac:dyDescent="0.25">
      <c r="A134" s="340" t="s">
        <v>181</v>
      </c>
      <c r="B134" s="341"/>
      <c r="C134" s="341"/>
      <c r="D134" s="342"/>
      <c r="E134" s="276">
        <f>E140+E135</f>
        <v>2497.91</v>
      </c>
      <c r="F134" s="276">
        <f>F140+F135</f>
        <v>2300</v>
      </c>
      <c r="G134" s="277">
        <f>G140+G135</f>
        <v>3060</v>
      </c>
      <c r="H134" s="277">
        <f t="shared" ref="H134:I134" si="19">H140+H135</f>
        <v>3105.8999999999996</v>
      </c>
      <c r="I134" s="278">
        <f t="shared" si="19"/>
        <v>3152.4884999999995</v>
      </c>
      <c r="K134" s="138"/>
    </row>
    <row r="135" spans="1:11" s="90" customFormat="1" ht="18" customHeight="1" x14ac:dyDescent="0.25">
      <c r="A135" s="335" t="s">
        <v>114</v>
      </c>
      <c r="B135" s="336"/>
      <c r="C135" s="336"/>
      <c r="D135" s="169" t="s">
        <v>88</v>
      </c>
      <c r="E135" s="181">
        <f t="shared" ref="E135:F135" si="20">E136</f>
        <v>2497.91</v>
      </c>
      <c r="F135" s="181">
        <f t="shared" si="20"/>
        <v>2300</v>
      </c>
      <c r="G135" s="181">
        <f>G136</f>
        <v>3060</v>
      </c>
      <c r="H135" s="181">
        <f t="shared" ref="H135:I135" si="21">H136</f>
        <v>3105.8999999999996</v>
      </c>
      <c r="I135" s="247">
        <f t="shared" si="21"/>
        <v>3152.4884999999995</v>
      </c>
      <c r="K135" s="138"/>
    </row>
    <row r="136" spans="1:11" s="90" customFormat="1" x14ac:dyDescent="0.25">
      <c r="A136" s="331">
        <v>3</v>
      </c>
      <c r="B136" s="332"/>
      <c r="C136" s="332"/>
      <c r="D136" s="92" t="s">
        <v>9</v>
      </c>
      <c r="E136" s="84">
        <f t="shared" ref="E136:F136" si="22">E137</f>
        <v>2497.91</v>
      </c>
      <c r="F136" s="84">
        <f t="shared" si="22"/>
        <v>2300</v>
      </c>
      <c r="G136" s="84">
        <f>G137</f>
        <v>3060</v>
      </c>
      <c r="H136" s="84">
        <f t="shared" ref="H136:I136" si="23">H137</f>
        <v>3105.8999999999996</v>
      </c>
      <c r="I136" s="279">
        <f t="shared" si="23"/>
        <v>3152.4884999999995</v>
      </c>
      <c r="K136" s="138"/>
    </row>
    <row r="137" spans="1:11" s="90" customFormat="1" x14ac:dyDescent="0.25">
      <c r="A137" s="331">
        <v>32</v>
      </c>
      <c r="B137" s="332"/>
      <c r="C137" s="332"/>
      <c r="D137" s="92" t="s">
        <v>21</v>
      </c>
      <c r="E137" s="84">
        <f t="shared" ref="E137:F137" si="24">E138</f>
        <v>2497.91</v>
      </c>
      <c r="F137" s="84">
        <f t="shared" si="24"/>
        <v>2300</v>
      </c>
      <c r="G137" s="84">
        <f>G138</f>
        <v>3060</v>
      </c>
      <c r="H137" s="84">
        <f>G137*1.015</f>
        <v>3105.8999999999996</v>
      </c>
      <c r="I137" s="279">
        <f>H137*1.015</f>
        <v>3152.4884999999995</v>
      </c>
      <c r="K137" s="138"/>
    </row>
    <row r="138" spans="1:11" s="90" customFormat="1" x14ac:dyDescent="0.25">
      <c r="A138" s="343">
        <v>322</v>
      </c>
      <c r="B138" s="344"/>
      <c r="C138" s="344"/>
      <c r="D138" s="115" t="s">
        <v>110</v>
      </c>
      <c r="E138" s="116">
        <f t="shared" ref="E138:F138" si="25">E139</f>
        <v>2497.91</v>
      </c>
      <c r="F138" s="116">
        <f t="shared" si="25"/>
        <v>2300</v>
      </c>
      <c r="G138" s="116">
        <f>G139</f>
        <v>3060</v>
      </c>
      <c r="H138" s="60"/>
      <c r="I138" s="70"/>
    </row>
    <row r="139" spans="1:11" s="83" customFormat="1" ht="15.75" thickBot="1" x14ac:dyDescent="0.3">
      <c r="A139" s="345">
        <v>3222</v>
      </c>
      <c r="B139" s="346"/>
      <c r="C139" s="346"/>
      <c r="D139" s="280" t="s">
        <v>77</v>
      </c>
      <c r="E139" s="148">
        <f>2497.91</f>
        <v>2497.91</v>
      </c>
      <c r="F139" s="148">
        <v>2300</v>
      </c>
      <c r="G139" s="148">
        <v>3060</v>
      </c>
      <c r="H139" s="145"/>
      <c r="I139" s="146"/>
    </row>
    <row r="140" spans="1:11" ht="18.75" thickBot="1" x14ac:dyDescent="0.3">
      <c r="A140" s="25"/>
      <c r="B140" s="25"/>
      <c r="C140" s="25"/>
      <c r="D140" s="25"/>
      <c r="E140" s="25"/>
      <c r="F140" s="75"/>
      <c r="G140" s="135"/>
      <c r="H140" s="5"/>
      <c r="I140" s="5"/>
      <c r="K140" s="74"/>
    </row>
    <row r="141" spans="1:11" x14ac:dyDescent="0.25">
      <c r="A141" s="340" t="s">
        <v>184</v>
      </c>
      <c r="B141" s="341"/>
      <c r="C141" s="341"/>
      <c r="D141" s="342"/>
      <c r="E141" s="276">
        <f>E154+E142</f>
        <v>0</v>
      </c>
      <c r="F141" s="276">
        <f>F154+F142</f>
        <v>0</v>
      </c>
      <c r="G141" s="277">
        <f>G154+G142</f>
        <v>8180</v>
      </c>
      <c r="H141" s="277">
        <f t="shared" ref="H141:I141" si="26">H154+H142</f>
        <v>8302.6999999999989</v>
      </c>
      <c r="I141" s="278">
        <f t="shared" si="26"/>
        <v>8427.2404999999981</v>
      </c>
      <c r="K141" s="74"/>
    </row>
    <row r="142" spans="1:11" x14ac:dyDescent="0.25">
      <c r="A142" s="335" t="s">
        <v>107</v>
      </c>
      <c r="B142" s="336"/>
      <c r="C142" s="336"/>
      <c r="D142" s="180" t="s">
        <v>73</v>
      </c>
      <c r="E142" s="181">
        <f>E143</f>
        <v>0</v>
      </c>
      <c r="F142" s="181">
        <f>F143</f>
        <v>0</v>
      </c>
      <c r="G142" s="181">
        <f>G143</f>
        <v>4090</v>
      </c>
      <c r="H142" s="181">
        <f t="shared" ref="H142:I142" si="27">H143</f>
        <v>4151.3499999999995</v>
      </c>
      <c r="I142" s="247">
        <f t="shared" si="27"/>
        <v>4213.620249999999</v>
      </c>
      <c r="K142" s="74"/>
    </row>
    <row r="143" spans="1:11" x14ac:dyDescent="0.25">
      <c r="A143" s="331">
        <v>3</v>
      </c>
      <c r="B143" s="332"/>
      <c r="C143" s="332"/>
      <c r="D143" s="293" t="s">
        <v>9</v>
      </c>
      <c r="E143" s="84">
        <f>E144+E151</f>
        <v>0</v>
      </c>
      <c r="F143" s="84">
        <f>F144+F151</f>
        <v>0</v>
      </c>
      <c r="G143" s="84">
        <f>G144+G151</f>
        <v>4090</v>
      </c>
      <c r="H143" s="84">
        <f t="shared" ref="H143:I143" si="28">H144+H151</f>
        <v>4151.3499999999995</v>
      </c>
      <c r="I143" s="279">
        <f t="shared" si="28"/>
        <v>4213.620249999999</v>
      </c>
      <c r="K143" s="74"/>
    </row>
    <row r="144" spans="1:11" x14ac:dyDescent="0.25">
      <c r="A144" s="331">
        <v>31</v>
      </c>
      <c r="B144" s="332"/>
      <c r="C144" s="332"/>
      <c r="D144" s="293" t="s">
        <v>10</v>
      </c>
      <c r="E144" s="84">
        <f>E145+E149+E147</f>
        <v>0</v>
      </c>
      <c r="F144" s="84">
        <f>F145+F149+F147</f>
        <v>0</v>
      </c>
      <c r="G144" s="84">
        <f>G145+G149+G147</f>
        <v>4020</v>
      </c>
      <c r="H144" s="84">
        <f>G144*1.015</f>
        <v>4080.2999999999997</v>
      </c>
      <c r="I144" s="279">
        <f>H144*1.015</f>
        <v>4141.5044999999991</v>
      </c>
    </row>
    <row r="145" spans="1:9" x14ac:dyDescent="0.25">
      <c r="A145" s="337">
        <v>311</v>
      </c>
      <c r="B145" s="338"/>
      <c r="C145" s="339"/>
      <c r="D145" s="292" t="s">
        <v>66</v>
      </c>
      <c r="E145" s="84">
        <f>SUM(E146)</f>
        <v>0</v>
      </c>
      <c r="F145" s="84">
        <f>SUM(F146)</f>
        <v>0</v>
      </c>
      <c r="G145" s="84">
        <f>SUM(G146)</f>
        <v>3000</v>
      </c>
      <c r="H145" s="84"/>
      <c r="I145" s="279"/>
    </row>
    <row r="146" spans="1:9" x14ac:dyDescent="0.25">
      <c r="A146" s="329">
        <v>3111</v>
      </c>
      <c r="B146" s="330"/>
      <c r="C146" s="330"/>
      <c r="D146" s="93" t="s">
        <v>67</v>
      </c>
      <c r="E146" s="97">
        <v>0</v>
      </c>
      <c r="F146" s="97">
        <v>0</v>
      </c>
      <c r="G146" s="97">
        <v>3000</v>
      </c>
      <c r="H146" s="294"/>
      <c r="I146" s="295"/>
    </row>
    <row r="147" spans="1:9" x14ac:dyDescent="0.25">
      <c r="A147" s="327">
        <v>312</v>
      </c>
      <c r="B147" s="328"/>
      <c r="C147" s="328"/>
      <c r="D147" s="292" t="s">
        <v>70</v>
      </c>
      <c r="E147" s="116">
        <f>E148</f>
        <v>0</v>
      </c>
      <c r="F147" s="116">
        <f>F148</f>
        <v>0</v>
      </c>
      <c r="G147" s="116">
        <f>G148</f>
        <v>450</v>
      </c>
      <c r="H147" s="296"/>
      <c r="I147" s="297"/>
    </row>
    <row r="148" spans="1:9" x14ac:dyDescent="0.25">
      <c r="A148" s="329">
        <v>3121</v>
      </c>
      <c r="B148" s="330"/>
      <c r="C148" s="330"/>
      <c r="D148" s="154" t="s">
        <v>70</v>
      </c>
      <c r="E148" s="97">
        <v>0</v>
      </c>
      <c r="F148" s="97">
        <v>0</v>
      </c>
      <c r="G148" s="97">
        <v>450</v>
      </c>
      <c r="H148" s="294"/>
      <c r="I148" s="295"/>
    </row>
    <row r="149" spans="1:9" x14ac:dyDescent="0.25">
      <c r="A149" s="327">
        <v>313</v>
      </c>
      <c r="B149" s="328"/>
      <c r="C149" s="328"/>
      <c r="D149" s="292" t="s">
        <v>71</v>
      </c>
      <c r="E149" s="116">
        <f>E150</f>
        <v>0</v>
      </c>
      <c r="F149" s="116">
        <f>F150</f>
        <v>0</v>
      </c>
      <c r="G149" s="116">
        <f>G150</f>
        <v>570</v>
      </c>
      <c r="H149" s="296"/>
      <c r="I149" s="297"/>
    </row>
    <row r="150" spans="1:9" x14ac:dyDescent="0.25">
      <c r="A150" s="329">
        <v>3132</v>
      </c>
      <c r="B150" s="330"/>
      <c r="C150" s="330"/>
      <c r="D150" s="154" t="s">
        <v>72</v>
      </c>
      <c r="E150" s="97">
        <v>0</v>
      </c>
      <c r="F150" s="97">
        <v>0</v>
      </c>
      <c r="G150" s="97">
        <v>570</v>
      </c>
      <c r="H150" s="294"/>
      <c r="I150" s="295"/>
    </row>
    <row r="151" spans="1:9" x14ac:dyDescent="0.25">
      <c r="A151" s="331">
        <v>32</v>
      </c>
      <c r="B151" s="332"/>
      <c r="C151" s="332"/>
      <c r="D151" s="293" t="s">
        <v>21</v>
      </c>
      <c r="E151" s="84">
        <f t="shared" ref="E151:G152" si="29">E152</f>
        <v>0</v>
      </c>
      <c r="F151" s="84">
        <f t="shared" si="29"/>
        <v>0</v>
      </c>
      <c r="G151" s="84">
        <f t="shared" si="29"/>
        <v>70</v>
      </c>
      <c r="H151" s="84">
        <f>G151*1.015</f>
        <v>71.05</v>
      </c>
      <c r="I151" s="279">
        <f>H151*1.015</f>
        <v>72.115749999999991</v>
      </c>
    </row>
    <row r="152" spans="1:9" x14ac:dyDescent="0.25">
      <c r="A152" s="327">
        <v>321</v>
      </c>
      <c r="B152" s="328"/>
      <c r="C152" s="328"/>
      <c r="D152" s="137" t="s">
        <v>74</v>
      </c>
      <c r="E152" s="116">
        <f t="shared" si="29"/>
        <v>0</v>
      </c>
      <c r="F152" s="116">
        <f t="shared" si="29"/>
        <v>0</v>
      </c>
      <c r="G152" s="116">
        <f t="shared" si="29"/>
        <v>70</v>
      </c>
      <c r="H152" s="296"/>
      <c r="I152" s="297"/>
    </row>
    <row r="153" spans="1:9" x14ac:dyDescent="0.25">
      <c r="A153" s="329">
        <v>3212</v>
      </c>
      <c r="B153" s="330"/>
      <c r="C153" s="330"/>
      <c r="D153" s="143" t="s">
        <v>75</v>
      </c>
      <c r="E153" s="97">
        <v>0</v>
      </c>
      <c r="F153" s="97">
        <v>0</v>
      </c>
      <c r="G153" s="97">
        <v>70</v>
      </c>
      <c r="H153" s="294"/>
      <c r="I153" s="295"/>
    </row>
    <row r="154" spans="1:9" x14ac:dyDescent="0.25">
      <c r="A154" s="335" t="s">
        <v>115</v>
      </c>
      <c r="B154" s="336"/>
      <c r="C154" s="336"/>
      <c r="D154" s="180" t="s">
        <v>143</v>
      </c>
      <c r="E154" s="181">
        <f>E155</f>
        <v>0</v>
      </c>
      <c r="F154" s="181">
        <f>F155</f>
        <v>0</v>
      </c>
      <c r="G154" s="181">
        <f>G155</f>
        <v>4090</v>
      </c>
      <c r="H154" s="181">
        <f t="shared" ref="H154:I154" si="30">H155</f>
        <v>4151.3499999999995</v>
      </c>
      <c r="I154" s="247">
        <f t="shared" si="30"/>
        <v>4213.620249999999</v>
      </c>
    </row>
    <row r="155" spans="1:9" x14ac:dyDescent="0.25">
      <c r="A155" s="331">
        <v>3</v>
      </c>
      <c r="B155" s="332"/>
      <c r="C155" s="332"/>
      <c r="D155" s="293" t="s">
        <v>9</v>
      </c>
      <c r="E155" s="84">
        <f>E156+E163</f>
        <v>0</v>
      </c>
      <c r="F155" s="84">
        <f>F156+F163</f>
        <v>0</v>
      </c>
      <c r="G155" s="84">
        <f>G156+G163</f>
        <v>4090</v>
      </c>
      <c r="H155" s="84">
        <f t="shared" ref="H155:I155" si="31">H156+H163</f>
        <v>4151.3499999999995</v>
      </c>
      <c r="I155" s="279">
        <f t="shared" si="31"/>
        <v>4213.620249999999</v>
      </c>
    </row>
    <row r="156" spans="1:9" x14ac:dyDescent="0.25">
      <c r="A156" s="331">
        <v>31</v>
      </c>
      <c r="B156" s="332"/>
      <c r="C156" s="332"/>
      <c r="D156" s="293" t="s">
        <v>10</v>
      </c>
      <c r="E156" s="84">
        <f>E157+E161+E159</f>
        <v>0</v>
      </c>
      <c r="F156" s="84">
        <f>F157+F161+F159</f>
        <v>0</v>
      </c>
      <c r="G156" s="84">
        <f>G157+G161+G159</f>
        <v>4020</v>
      </c>
      <c r="H156" s="84">
        <f>G156*1.015</f>
        <v>4080.2999999999997</v>
      </c>
      <c r="I156" s="279">
        <f>H156*1.015</f>
        <v>4141.5044999999991</v>
      </c>
    </row>
    <row r="157" spans="1:9" x14ac:dyDescent="0.25">
      <c r="A157" s="337">
        <v>311</v>
      </c>
      <c r="B157" s="338"/>
      <c r="C157" s="339"/>
      <c r="D157" s="292" t="s">
        <v>66</v>
      </c>
      <c r="E157" s="84">
        <f>E158</f>
        <v>0</v>
      </c>
      <c r="F157" s="84">
        <f>F158</f>
        <v>0</v>
      </c>
      <c r="G157" s="84">
        <f>G158</f>
        <v>3000</v>
      </c>
      <c r="H157" s="84"/>
      <c r="I157" s="279"/>
    </row>
    <row r="158" spans="1:9" x14ac:dyDescent="0.25">
      <c r="A158" s="329">
        <v>3111</v>
      </c>
      <c r="B158" s="330"/>
      <c r="C158" s="330"/>
      <c r="D158" s="93" t="s">
        <v>67</v>
      </c>
      <c r="E158" s="97">
        <v>0</v>
      </c>
      <c r="F158" s="97">
        <v>0</v>
      </c>
      <c r="G158" s="97">
        <v>3000</v>
      </c>
      <c r="H158" s="294"/>
      <c r="I158" s="295"/>
    </row>
    <row r="159" spans="1:9" x14ac:dyDescent="0.25">
      <c r="A159" s="325">
        <v>312</v>
      </c>
      <c r="B159" s="326"/>
      <c r="C159" s="326"/>
      <c r="D159" s="153" t="s">
        <v>70</v>
      </c>
      <c r="E159" s="116">
        <f>SUM(E160)</f>
        <v>0</v>
      </c>
      <c r="F159" s="116">
        <f>SUM(F160)</f>
        <v>0</v>
      </c>
      <c r="G159" s="116">
        <f>SUM(G160)</f>
        <v>450</v>
      </c>
      <c r="H159" s="296"/>
      <c r="I159" s="298"/>
    </row>
    <row r="160" spans="1:9" s="83" customFormat="1" x14ac:dyDescent="0.25">
      <c r="A160" s="325">
        <v>3121</v>
      </c>
      <c r="B160" s="326"/>
      <c r="C160" s="326"/>
      <c r="D160" s="299" t="s">
        <v>70</v>
      </c>
      <c r="E160" s="97">
        <v>0</v>
      </c>
      <c r="F160" s="97">
        <v>0</v>
      </c>
      <c r="G160" s="144">
        <v>450</v>
      </c>
      <c r="H160" s="294"/>
      <c r="I160" s="300"/>
    </row>
    <row r="161" spans="1:9" x14ac:dyDescent="0.25">
      <c r="A161" s="327">
        <v>313</v>
      </c>
      <c r="B161" s="328"/>
      <c r="C161" s="328"/>
      <c r="D161" s="292" t="s">
        <v>71</v>
      </c>
      <c r="E161" s="116">
        <f>E162</f>
        <v>0</v>
      </c>
      <c r="F161" s="116">
        <f>F162</f>
        <v>0</v>
      </c>
      <c r="G161" s="116">
        <f>G162</f>
        <v>570</v>
      </c>
      <c r="H161" s="296"/>
      <c r="I161" s="297"/>
    </row>
    <row r="162" spans="1:9" x14ac:dyDescent="0.25">
      <c r="A162" s="329">
        <v>3132</v>
      </c>
      <c r="B162" s="330"/>
      <c r="C162" s="330"/>
      <c r="D162" s="154" t="s">
        <v>72</v>
      </c>
      <c r="E162" s="97">
        <v>0</v>
      </c>
      <c r="F162" s="97">
        <v>0</v>
      </c>
      <c r="G162" s="97">
        <v>570</v>
      </c>
      <c r="H162" s="294"/>
      <c r="I162" s="295"/>
    </row>
    <row r="163" spans="1:9" x14ac:dyDescent="0.25">
      <c r="A163" s="331">
        <v>32</v>
      </c>
      <c r="B163" s="332"/>
      <c r="C163" s="332"/>
      <c r="D163" s="293" t="s">
        <v>21</v>
      </c>
      <c r="E163" s="84">
        <f t="shared" ref="E163:G164" si="32">E164</f>
        <v>0</v>
      </c>
      <c r="F163" s="84">
        <f t="shared" si="32"/>
        <v>0</v>
      </c>
      <c r="G163" s="84">
        <f t="shared" si="32"/>
        <v>70</v>
      </c>
      <c r="H163" s="84">
        <f>G163*1.015</f>
        <v>71.05</v>
      </c>
      <c r="I163" s="279">
        <f>H163*1.015</f>
        <v>72.115749999999991</v>
      </c>
    </row>
    <row r="164" spans="1:9" x14ac:dyDescent="0.25">
      <c r="A164" s="327">
        <v>321</v>
      </c>
      <c r="B164" s="328"/>
      <c r="C164" s="328"/>
      <c r="D164" s="137" t="s">
        <v>74</v>
      </c>
      <c r="E164" s="116">
        <f t="shared" si="32"/>
        <v>0</v>
      </c>
      <c r="F164" s="116">
        <f t="shared" si="32"/>
        <v>0</v>
      </c>
      <c r="G164" s="116">
        <f t="shared" si="32"/>
        <v>70</v>
      </c>
      <c r="H164" s="60"/>
      <c r="I164" s="70"/>
    </row>
    <row r="165" spans="1:9" ht="15.75" thickBot="1" x14ac:dyDescent="0.3">
      <c r="A165" s="333">
        <v>3212</v>
      </c>
      <c r="B165" s="334"/>
      <c r="C165" s="334"/>
      <c r="D165" s="281" t="s">
        <v>75</v>
      </c>
      <c r="E165" s="148">
        <v>0</v>
      </c>
      <c r="F165" s="148">
        <v>0</v>
      </c>
      <c r="G165" s="148">
        <v>70</v>
      </c>
      <c r="H165" s="145"/>
      <c r="I165" s="146"/>
    </row>
  </sheetData>
  <mergeCells count="160">
    <mergeCell ref="E2:F2"/>
    <mergeCell ref="A8:D8"/>
    <mergeCell ref="A78:D78"/>
    <mergeCell ref="A108:D108"/>
    <mergeCell ref="A134:D134"/>
    <mergeCell ref="A41:C41"/>
    <mergeCell ref="A15:C15"/>
    <mergeCell ref="A16:C16"/>
    <mergeCell ref="A126:C126"/>
    <mergeCell ref="A127:C127"/>
    <mergeCell ref="A88:C88"/>
    <mergeCell ref="A112:C112"/>
    <mergeCell ref="A124:C124"/>
    <mergeCell ref="A49:C49"/>
    <mergeCell ref="A23:C23"/>
    <mergeCell ref="A74:C74"/>
    <mergeCell ref="A118:C118"/>
    <mergeCell ref="A121:C121"/>
    <mergeCell ref="A109:C109"/>
    <mergeCell ref="A110:C110"/>
    <mergeCell ref="A111:C111"/>
    <mergeCell ref="A5:C5"/>
    <mergeCell ref="A6:C6"/>
    <mergeCell ref="A7:C7"/>
    <mergeCell ref="A136:C136"/>
    <mergeCell ref="A137:C137"/>
    <mergeCell ref="A135:C135"/>
    <mergeCell ref="A79:C79"/>
    <mergeCell ref="A80:C80"/>
    <mergeCell ref="A122:C122"/>
    <mergeCell ref="A123:C123"/>
    <mergeCell ref="A130:C130"/>
    <mergeCell ref="A131:C131"/>
    <mergeCell ref="A132:C132"/>
    <mergeCell ref="A106:C106"/>
    <mergeCell ref="A95:C95"/>
    <mergeCell ref="A96:C96"/>
    <mergeCell ref="A97:C97"/>
    <mergeCell ref="A98:C98"/>
    <mergeCell ref="A99:C99"/>
    <mergeCell ref="A100:C100"/>
    <mergeCell ref="A81:C81"/>
    <mergeCell ref="A129:C129"/>
    <mergeCell ref="A103:C103"/>
    <mergeCell ref="A102:C102"/>
    <mergeCell ref="A101:C101"/>
    <mergeCell ref="A128:C128"/>
    <mergeCell ref="A114:C114"/>
    <mergeCell ref="A1:I1"/>
    <mergeCell ref="A3:I3"/>
    <mergeCell ref="A20:C20"/>
    <mergeCell ref="A21:C21"/>
    <mergeCell ref="A22:C22"/>
    <mergeCell ref="A31:C31"/>
    <mergeCell ref="A42:C42"/>
    <mergeCell ref="A43:C43"/>
    <mergeCell ref="A46:C46"/>
    <mergeCell ref="A24:C24"/>
    <mergeCell ref="A25:C25"/>
    <mergeCell ref="A26:C26"/>
    <mergeCell ref="A27:C27"/>
    <mergeCell ref="A28:C28"/>
    <mergeCell ref="A29:C29"/>
    <mergeCell ref="A30:C30"/>
    <mergeCell ref="A32:C32"/>
    <mergeCell ref="A33:C33"/>
    <mergeCell ref="A44:C44"/>
    <mergeCell ref="A45:C45"/>
    <mergeCell ref="A38:C38"/>
    <mergeCell ref="A39:C39"/>
    <mergeCell ref="A40:C40"/>
    <mergeCell ref="A36:C36"/>
    <mergeCell ref="A55:C55"/>
    <mergeCell ref="A68:C68"/>
    <mergeCell ref="A9:C9"/>
    <mergeCell ref="A10:C10"/>
    <mergeCell ref="A11:C11"/>
    <mergeCell ref="A17:C17"/>
    <mergeCell ref="A47:C47"/>
    <mergeCell ref="A48:C48"/>
    <mergeCell ref="A13:C13"/>
    <mergeCell ref="A14:C14"/>
    <mergeCell ref="A18:C18"/>
    <mergeCell ref="A19:C19"/>
    <mergeCell ref="A34:C34"/>
    <mergeCell ref="A35:C35"/>
    <mergeCell ref="A37:C37"/>
    <mergeCell ref="A12:C12"/>
    <mergeCell ref="A72:C72"/>
    <mergeCell ref="A113:C113"/>
    <mergeCell ref="A116:C116"/>
    <mergeCell ref="A117:C117"/>
    <mergeCell ref="A119:C119"/>
    <mergeCell ref="A120:C120"/>
    <mergeCell ref="A125:C125"/>
    <mergeCell ref="A73:C73"/>
    <mergeCell ref="A115:C115"/>
    <mergeCell ref="A104:C104"/>
    <mergeCell ref="A82:C82"/>
    <mergeCell ref="A83:C83"/>
    <mergeCell ref="A84:C84"/>
    <mergeCell ref="A85:C85"/>
    <mergeCell ref="A86:C86"/>
    <mergeCell ref="A87:C87"/>
    <mergeCell ref="A89:C89"/>
    <mergeCell ref="A90:C90"/>
    <mergeCell ref="A91:C91"/>
    <mergeCell ref="A92:C92"/>
    <mergeCell ref="A93:C93"/>
    <mergeCell ref="A94:C94"/>
    <mergeCell ref="A105:C105"/>
    <mergeCell ref="A138:C138"/>
    <mergeCell ref="A139:C139"/>
    <mergeCell ref="A58:C58"/>
    <mergeCell ref="A60:C60"/>
    <mergeCell ref="A50:C50"/>
    <mergeCell ref="A51:C51"/>
    <mergeCell ref="A52:C52"/>
    <mergeCell ref="A53:C53"/>
    <mergeCell ref="A54:C54"/>
    <mergeCell ref="A56:C56"/>
    <mergeCell ref="A57:C57"/>
    <mergeCell ref="A75:C75"/>
    <mergeCell ref="A76:C76"/>
    <mergeCell ref="A62:C62"/>
    <mergeCell ref="A61:C61"/>
    <mergeCell ref="A63:C63"/>
    <mergeCell ref="A64:C64"/>
    <mergeCell ref="A67:C67"/>
    <mergeCell ref="A59:C59"/>
    <mergeCell ref="A70:C70"/>
    <mergeCell ref="A71:C71"/>
    <mergeCell ref="A66:C66"/>
    <mergeCell ref="A65:C65"/>
    <mergeCell ref="A69:C69"/>
    <mergeCell ref="A141:D141"/>
    <mergeCell ref="A142:C142"/>
    <mergeCell ref="A143:C143"/>
    <mergeCell ref="A144:C144"/>
    <mergeCell ref="A145:C145"/>
    <mergeCell ref="A146:C146"/>
    <mergeCell ref="A147:C147"/>
    <mergeCell ref="A148:C148"/>
    <mergeCell ref="A149:C149"/>
    <mergeCell ref="A159:C159"/>
    <mergeCell ref="A160:C160"/>
    <mergeCell ref="A161:C161"/>
    <mergeCell ref="A162:C162"/>
    <mergeCell ref="A163:C163"/>
    <mergeCell ref="A164:C164"/>
    <mergeCell ref="A165:C165"/>
    <mergeCell ref="A150:C150"/>
    <mergeCell ref="A151:C151"/>
    <mergeCell ref="A152:C152"/>
    <mergeCell ref="A153:C153"/>
    <mergeCell ref="A154:C154"/>
    <mergeCell ref="A155:C155"/>
    <mergeCell ref="A156:C156"/>
    <mergeCell ref="A157:C157"/>
    <mergeCell ref="A158:C158"/>
  </mergeCells>
  <phoneticPr fontId="28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G10 E28 E52 E115 E117 E12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Admin</cp:lastModifiedBy>
  <cp:lastPrinted>2024-10-30T12:01:48Z</cp:lastPrinted>
  <dcterms:created xsi:type="dcterms:W3CDTF">2022-08-12T12:51:27Z</dcterms:created>
  <dcterms:modified xsi:type="dcterms:W3CDTF">2025-01-07T12:42:05Z</dcterms:modified>
</cp:coreProperties>
</file>