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Skola\Zajednicki dokumenti\Izvjesca, planovi i znacajniji dokumenti\Financijski planovi, obracuni poslovanja, rebalansi\"/>
    </mc:Choice>
  </mc:AlternateContent>
  <xr:revisionPtr revIDLastSave="0" documentId="13_ncr:1_{3E6CF641-D6D2-40C1-A4BC-25C0EB3A0C47}" xr6:coauthVersionLast="47" xr6:coauthVersionMax="47" xr10:uidLastSave="{00000000-0000-0000-0000-000000000000}"/>
  <bookViews>
    <workbookView xWindow="3420" yWindow="2460" windowWidth="21600" windowHeight="11385" tabRatio="720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2" i="7" l="1"/>
  <c r="F145" i="7"/>
  <c r="E60" i="3" l="1"/>
  <c r="E67" i="3"/>
  <c r="F75" i="7"/>
  <c r="F74" i="7" s="1"/>
  <c r="G75" i="7"/>
  <c r="G74" i="7" s="1"/>
  <c r="E75" i="7"/>
  <c r="E74" i="7" s="1"/>
  <c r="F46" i="7"/>
  <c r="F45" i="7" s="1"/>
  <c r="G46" i="7"/>
  <c r="G45" i="7" s="1"/>
  <c r="E46" i="7"/>
  <c r="E45" i="7" s="1"/>
  <c r="F55" i="3"/>
  <c r="D14" i="5"/>
  <c r="C29" i="8"/>
  <c r="D31" i="8"/>
  <c r="C31" i="8"/>
  <c r="C33" i="8"/>
  <c r="D36" i="8"/>
  <c r="C36" i="8"/>
  <c r="D35" i="8"/>
  <c r="D34" i="8"/>
  <c r="D28" i="8"/>
  <c r="D27" i="8" s="1"/>
  <c r="D30" i="8"/>
  <c r="D29" i="8" s="1"/>
  <c r="C17" i="8"/>
  <c r="G51" i="7"/>
  <c r="G23" i="7"/>
  <c r="F89" i="3"/>
  <c r="F92" i="3"/>
  <c r="F91" i="3" s="1"/>
  <c r="F90" i="3"/>
  <c r="E123" i="7"/>
  <c r="E122" i="7" s="1"/>
  <c r="E121" i="7" s="1"/>
  <c r="F123" i="7"/>
  <c r="F122" i="7" s="1"/>
  <c r="F121" i="7" s="1"/>
  <c r="E23" i="7"/>
  <c r="E22" i="7" s="1"/>
  <c r="E21" i="7" s="1"/>
  <c r="E20" i="7" s="1"/>
  <c r="E84" i="7"/>
  <c r="E83" i="7" s="1"/>
  <c r="E82" i="7" s="1"/>
  <c r="F84" i="7"/>
  <c r="F83" i="7" s="1"/>
  <c r="F82" i="7" s="1"/>
  <c r="F68" i="7"/>
  <c r="F70" i="7"/>
  <c r="G65" i="7"/>
  <c r="G64" i="7" s="1"/>
  <c r="F64" i="7"/>
  <c r="F22" i="7"/>
  <c r="F21" i="7" s="1"/>
  <c r="F20" i="7" s="1"/>
  <c r="G58" i="7"/>
  <c r="G32" i="7"/>
  <c r="G148" i="7"/>
  <c r="G144" i="7"/>
  <c r="G131" i="7"/>
  <c r="G133" i="7"/>
  <c r="G135" i="7"/>
  <c r="G152" i="7"/>
  <c r="G139" i="7"/>
  <c r="G166" i="7"/>
  <c r="G165" i="7" s="1"/>
  <c r="G178" i="7"/>
  <c r="G177" i="7" s="1"/>
  <c r="G167" i="7"/>
  <c r="G180" i="7"/>
  <c r="G179" i="7" s="1"/>
  <c r="G170" i="7"/>
  <c r="G169" i="7" s="1"/>
  <c r="G182" i="7"/>
  <c r="G181" i="7" s="1"/>
  <c r="G185" i="7"/>
  <c r="G184" i="7" s="1"/>
  <c r="G183" i="7" s="1"/>
  <c r="G173" i="7"/>
  <c r="G172" i="7" s="1"/>
  <c r="G171" i="7" s="1"/>
  <c r="G117" i="7"/>
  <c r="G116" i="7"/>
  <c r="G69" i="7"/>
  <c r="G68" i="7" s="1"/>
  <c r="G114" i="7"/>
  <c r="G113" i="7"/>
  <c r="G111" i="7"/>
  <c r="G110" i="7"/>
  <c r="G109" i="7"/>
  <c r="G108" i="7"/>
  <c r="G104" i="7"/>
  <c r="G103" i="7"/>
  <c r="G39" i="7"/>
  <c r="G101" i="7"/>
  <c r="G37" i="7"/>
  <c r="G97" i="7"/>
  <c r="D33" i="8" l="1"/>
  <c r="D26" i="8"/>
  <c r="G176" i="7"/>
  <c r="G175" i="7"/>
  <c r="G174" i="7" s="1"/>
  <c r="G164" i="7"/>
  <c r="G163" i="7" s="1"/>
  <c r="G162" i="7" s="1"/>
  <c r="G16" i="7"/>
  <c r="G34" i="7"/>
  <c r="G33" i="7" s="1"/>
  <c r="G31" i="7"/>
  <c r="G28" i="7"/>
  <c r="G30" i="7"/>
  <c r="G56" i="7"/>
  <c r="F75" i="3"/>
  <c r="F54" i="3"/>
  <c r="F46" i="3"/>
  <c r="F44" i="3"/>
  <c r="F42" i="3"/>
  <c r="F40" i="3"/>
  <c r="F16" i="3"/>
  <c r="F13" i="3"/>
  <c r="G119" i="7"/>
  <c r="G118" i="7" s="1"/>
  <c r="G115" i="7"/>
  <c r="G107" i="7"/>
  <c r="G96" i="7"/>
  <c r="G137" i="7"/>
  <c r="G136" i="7" s="1"/>
  <c r="G150" i="7"/>
  <c r="G149" i="7" s="1"/>
  <c r="G143" i="7"/>
  <c r="G79" i="7"/>
  <c r="G78" i="7" s="1"/>
  <c r="G77" i="7" s="1"/>
  <c r="G70" i="7"/>
  <c r="G62" i="7"/>
  <c r="G50" i="7"/>
  <c r="G49" i="7" s="1"/>
  <c r="G48" i="7" s="1"/>
  <c r="G36" i="7"/>
  <c r="G38" i="7"/>
  <c r="G40" i="7"/>
  <c r="G43" i="7"/>
  <c r="G42" i="7" s="1"/>
  <c r="G18" i="7"/>
  <c r="G17" i="7" s="1"/>
  <c r="G22" i="7"/>
  <c r="G21" i="7" s="1"/>
  <c r="G20" i="7" s="1"/>
  <c r="G161" i="7" l="1"/>
  <c r="G35" i="7"/>
  <c r="G123" i="7"/>
  <c r="G122" i="7" s="1"/>
  <c r="G121" i="7" s="1"/>
  <c r="G89" i="7"/>
  <c r="G88" i="7" s="1"/>
  <c r="G87" i="7" s="1"/>
  <c r="G86" i="7" s="1"/>
  <c r="G84" i="7"/>
  <c r="G83" i="7" s="1"/>
  <c r="G82" i="7" s="1"/>
  <c r="G105" i="7"/>
  <c r="G100" i="7" s="1"/>
  <c r="G95" i="7" s="1"/>
  <c r="G94" i="7" s="1"/>
  <c r="G158" i="7"/>
  <c r="G157" i="7" s="1"/>
  <c r="G156" i="7" s="1"/>
  <c r="G155" i="7" s="1"/>
  <c r="G154" i="7" s="1"/>
  <c r="G61" i="7"/>
  <c r="G147" i="7"/>
  <c r="G141" i="7" s="1"/>
  <c r="G140" i="7" s="1"/>
  <c r="F137" i="7"/>
  <c r="F150" i="7"/>
  <c r="G134" i="7"/>
  <c r="G59" i="7"/>
  <c r="G29" i="7"/>
  <c r="G27" i="7" s="1"/>
  <c r="G15" i="7"/>
  <c r="G57" i="7"/>
  <c r="G132" i="7"/>
  <c r="G55" i="7"/>
  <c r="G14" i="7"/>
  <c r="G13" i="7"/>
  <c r="G130" i="7"/>
  <c r="C12" i="5"/>
  <c r="G8" i="10"/>
  <c r="G14" i="10" s="1"/>
  <c r="G11" i="10"/>
  <c r="E94" i="3"/>
  <c r="E93" i="3" s="1"/>
  <c r="F94" i="3"/>
  <c r="F93" i="3" s="1"/>
  <c r="D94" i="3"/>
  <c r="D93" i="3" s="1"/>
  <c r="F88" i="3"/>
  <c r="F87" i="3" s="1"/>
  <c r="F81" i="3"/>
  <c r="F80" i="3" s="1"/>
  <c r="E81" i="3"/>
  <c r="E80" i="3" s="1"/>
  <c r="F84" i="3"/>
  <c r="F83" i="3" s="1"/>
  <c r="F74" i="3"/>
  <c r="F73" i="3" s="1"/>
  <c r="F78" i="3"/>
  <c r="F77" i="3" s="1"/>
  <c r="F72" i="3"/>
  <c r="F71" i="3"/>
  <c r="F68" i="3" s="1"/>
  <c r="F67" i="3"/>
  <c r="F66" i="3"/>
  <c r="F64" i="3"/>
  <c r="F63" i="3"/>
  <c r="F62" i="3"/>
  <c r="F61" i="3"/>
  <c r="F60" i="3" s="1"/>
  <c r="F57" i="3"/>
  <c r="F56" i="3"/>
  <c r="F52" i="3"/>
  <c r="F51" i="3"/>
  <c r="F50" i="3"/>
  <c r="F49" i="3"/>
  <c r="F45" i="3"/>
  <c r="F43" i="3"/>
  <c r="F41" i="3"/>
  <c r="F21" i="3"/>
  <c r="F86" i="3" l="1"/>
  <c r="H13" i="10" s="1"/>
  <c r="G81" i="7"/>
  <c r="G93" i="7"/>
  <c r="G92" i="7" s="1"/>
  <c r="G129" i="7"/>
  <c r="G128" i="7" s="1"/>
  <c r="G127" i="7" s="1"/>
  <c r="G126" i="7" s="1"/>
  <c r="G54" i="7"/>
  <c r="G53" i="7" s="1"/>
  <c r="G52" i="7" s="1"/>
  <c r="G12" i="7"/>
  <c r="G11" i="7" s="1"/>
  <c r="G10" i="7" s="1"/>
  <c r="G9" i="7" s="1"/>
  <c r="G26" i="7"/>
  <c r="F48" i="3"/>
  <c r="F39" i="3"/>
  <c r="F38" i="3" s="1"/>
  <c r="F53" i="3"/>
  <c r="F30" i="3"/>
  <c r="F31" i="3"/>
  <c r="F27" i="3"/>
  <c r="D21" i="8" s="1"/>
  <c r="D20" i="8" s="1"/>
  <c r="F25" i="3"/>
  <c r="F23" i="3" s="1"/>
  <c r="D14" i="8" s="1"/>
  <c r="D13" i="8" s="1"/>
  <c r="F20" i="3"/>
  <c r="F19" i="3" s="1"/>
  <c r="D16" i="8" s="1"/>
  <c r="D15" i="8" s="1"/>
  <c r="F15" i="3"/>
  <c r="D18" i="8" s="1"/>
  <c r="F14" i="3"/>
  <c r="E12" i="3"/>
  <c r="E23" i="3"/>
  <c r="F26" i="3"/>
  <c r="E26" i="3"/>
  <c r="D29" i="3"/>
  <c r="E29" i="3"/>
  <c r="E28" i="3" s="1"/>
  <c r="D15" i="3"/>
  <c r="E15" i="3"/>
  <c r="E172" i="7"/>
  <c r="E171" i="7" s="1"/>
  <c r="F184" i="7"/>
  <c r="F183" i="7" s="1"/>
  <c r="E184" i="7"/>
  <c r="E183" i="7" s="1"/>
  <c r="F181" i="7"/>
  <c r="E181" i="7"/>
  <c r="F179" i="7"/>
  <c r="E179" i="7"/>
  <c r="F177" i="7"/>
  <c r="E177" i="7"/>
  <c r="F172" i="7"/>
  <c r="F171" i="7" s="1"/>
  <c r="E169" i="7"/>
  <c r="F169" i="7"/>
  <c r="F167" i="7"/>
  <c r="E167" i="7"/>
  <c r="F165" i="7"/>
  <c r="E165" i="7"/>
  <c r="E43" i="7"/>
  <c r="E42" i="7" s="1"/>
  <c r="E101" i="7"/>
  <c r="E39" i="7"/>
  <c r="E38" i="7" s="1"/>
  <c r="E28" i="7"/>
  <c r="E73" i="7"/>
  <c r="E70" i="7" s="1"/>
  <c r="E117" i="7"/>
  <c r="E115" i="7" s="1"/>
  <c r="E68" i="7"/>
  <c r="E65" i="7"/>
  <c r="E64" i="7" s="1"/>
  <c r="E15" i="7"/>
  <c r="E18" i="7"/>
  <c r="E17" i="7" s="1"/>
  <c r="E12" i="7"/>
  <c r="E40" i="7"/>
  <c r="E59" i="7"/>
  <c r="E62" i="7"/>
  <c r="F62" i="7"/>
  <c r="F115" i="7"/>
  <c r="F143" i="7"/>
  <c r="E144" i="7"/>
  <c r="E143" i="7" s="1"/>
  <c r="E50" i="7"/>
  <c r="E49" i="7" s="1"/>
  <c r="E48" i="7" s="1"/>
  <c r="F50" i="7"/>
  <c r="E79" i="7"/>
  <c r="E78" i="7" s="1"/>
  <c r="E77" i="7" s="1"/>
  <c r="F79" i="7"/>
  <c r="F78" i="7" s="1"/>
  <c r="F77" i="7" s="1"/>
  <c r="F88" i="7"/>
  <c r="F87" i="7" s="1"/>
  <c r="F86" i="7" s="1"/>
  <c r="F81" i="7" s="1"/>
  <c r="E89" i="7"/>
  <c r="E88" i="7" s="1"/>
  <c r="E87" i="7" s="1"/>
  <c r="E86" i="7" s="1"/>
  <c r="E81" i="7" s="1"/>
  <c r="F43" i="7"/>
  <c r="F42" i="7" s="1"/>
  <c r="E119" i="7"/>
  <c r="E118" i="7" s="1"/>
  <c r="E113" i="7"/>
  <c r="E112" i="7"/>
  <c r="E111" i="7"/>
  <c r="E110" i="7"/>
  <c r="E109" i="7"/>
  <c r="E108" i="7"/>
  <c r="F96" i="7"/>
  <c r="E105" i="7"/>
  <c r="E104" i="7"/>
  <c r="E103" i="7"/>
  <c r="E102" i="7"/>
  <c r="F158" i="7"/>
  <c r="F157" i="7" s="1"/>
  <c r="F156" i="7" s="1"/>
  <c r="F155" i="7" s="1"/>
  <c r="F154" i="7" s="1"/>
  <c r="E159" i="7"/>
  <c r="E158" i="7" s="1"/>
  <c r="E157" i="7" s="1"/>
  <c r="E156" i="7" s="1"/>
  <c r="E155" i="7" s="1"/>
  <c r="E154" i="7" s="1"/>
  <c r="E139" i="7"/>
  <c r="E137" i="7" s="1"/>
  <c r="E136" i="7" s="1"/>
  <c r="E133" i="7"/>
  <c r="E132" i="7" s="1"/>
  <c r="E99" i="7"/>
  <c r="E98" i="7"/>
  <c r="E152" i="7"/>
  <c r="E150" i="7" s="1"/>
  <c r="E149" i="7" s="1"/>
  <c r="E37" i="7"/>
  <c r="E36" i="7" s="1"/>
  <c r="E97" i="7"/>
  <c r="E34" i="7"/>
  <c r="E33" i="7" s="1"/>
  <c r="E148" i="7"/>
  <c r="E147" i="7" s="1"/>
  <c r="E135" i="7"/>
  <c r="E134" i="7" s="1"/>
  <c r="E32" i="7"/>
  <c r="E31" i="7" s="1"/>
  <c r="E58" i="7"/>
  <c r="E57" i="7" s="1"/>
  <c r="E146" i="7"/>
  <c r="E145" i="7" s="1"/>
  <c r="E56" i="7"/>
  <c r="E55" i="7" s="1"/>
  <c r="E30" i="7"/>
  <c r="E29" i="7"/>
  <c r="E131" i="7"/>
  <c r="E130" i="7" s="1"/>
  <c r="F47" i="3" l="1"/>
  <c r="F37" i="3" s="1"/>
  <c r="G25" i="7"/>
  <c r="G24" i="7" s="1"/>
  <c r="G8" i="7" s="1"/>
  <c r="G7" i="7" s="1"/>
  <c r="E11" i="7"/>
  <c r="E10" i="7" s="1"/>
  <c r="E9" i="7" s="1"/>
  <c r="F164" i="7"/>
  <c r="F163" i="7" s="1"/>
  <c r="F162" i="7" s="1"/>
  <c r="F12" i="3"/>
  <c r="F29" i="3"/>
  <c r="F28" i="3" s="1"/>
  <c r="D12" i="8" s="1"/>
  <c r="D11" i="8" s="1"/>
  <c r="F22" i="3"/>
  <c r="F176" i="7"/>
  <c r="F175" i="7" s="1"/>
  <c r="F174" i="7" s="1"/>
  <c r="E176" i="7"/>
  <c r="E175" i="7" s="1"/>
  <c r="E174" i="7" s="1"/>
  <c r="E164" i="7"/>
  <c r="E163" i="7" s="1"/>
  <c r="E162" i="7" s="1"/>
  <c r="E27" i="7"/>
  <c r="E26" i="7" s="1"/>
  <c r="E100" i="7"/>
  <c r="E107" i="7"/>
  <c r="E54" i="7"/>
  <c r="E96" i="7"/>
  <c r="E129" i="7"/>
  <c r="E128" i="7" s="1"/>
  <c r="E127" i="7" s="1"/>
  <c r="E61" i="7"/>
  <c r="E35" i="7"/>
  <c r="E142" i="7"/>
  <c r="E141" i="7" s="1"/>
  <c r="E140" i="7" s="1"/>
  <c r="C28" i="8"/>
  <c r="C27" i="8" s="1"/>
  <c r="C26" i="8" s="1"/>
  <c r="C12" i="8"/>
  <c r="C11" i="8" s="1"/>
  <c r="C20" i="8"/>
  <c r="F11" i="3" l="1"/>
  <c r="D19" i="8"/>
  <c r="D17" i="8" s="1"/>
  <c r="D10" i="8" s="1"/>
  <c r="F36" i="3"/>
  <c r="H12" i="10"/>
  <c r="H11" i="10" s="1"/>
  <c r="E25" i="7"/>
  <c r="E24" i="7" s="1"/>
  <c r="F10" i="3"/>
  <c r="F9" i="3" s="1"/>
  <c r="H9" i="10" s="1"/>
  <c r="H8" i="10" s="1"/>
  <c r="E126" i="7"/>
  <c r="E95" i="7"/>
  <c r="E94" i="7" s="1"/>
  <c r="E93" i="7" s="1"/>
  <c r="E92" i="7" s="1"/>
  <c r="F161" i="7"/>
  <c r="E161" i="7"/>
  <c r="E53" i="7"/>
  <c r="E52" i="7" s="1"/>
  <c r="D13" i="5" l="1"/>
  <c r="D12" i="5" s="1"/>
  <c r="D11" i="5" s="1"/>
  <c r="D10" i="5" s="1"/>
  <c r="H14" i="10"/>
  <c r="E8" i="7"/>
  <c r="E7" i="7" s="1"/>
  <c r="C15" i="8"/>
  <c r="B31" i="8"/>
  <c r="B28" i="8"/>
  <c r="B12" i="8"/>
  <c r="B11" i="8" s="1"/>
  <c r="B15" i="8"/>
  <c r="F100" i="7" l="1"/>
  <c r="F107" i="7"/>
  <c r="F119" i="7"/>
  <c r="F118" i="7" s="1"/>
  <c r="F61" i="7"/>
  <c r="F55" i="7"/>
  <c r="F57" i="7"/>
  <c r="F59" i="7"/>
  <c r="F40" i="7"/>
  <c r="F36" i="7"/>
  <c r="F38" i="7"/>
  <c r="F49" i="7"/>
  <c r="F48" i="7" s="1"/>
  <c r="F27" i="7"/>
  <c r="F31" i="7"/>
  <c r="F33" i="7"/>
  <c r="F147" i="7"/>
  <c r="F18" i="7"/>
  <c r="F17" i="7" s="1"/>
  <c r="F12" i="7"/>
  <c r="F11" i="7" s="1"/>
  <c r="F15" i="7"/>
  <c r="F130" i="7"/>
  <c r="F132" i="7"/>
  <c r="F134" i="7"/>
  <c r="F136" i="7"/>
  <c r="F149" i="7"/>
  <c r="F26" i="7" l="1"/>
  <c r="F95" i="7"/>
  <c r="F94" i="7" s="1"/>
  <c r="F142" i="7"/>
  <c r="F141" i="7" s="1"/>
  <c r="F140" i="7" s="1"/>
  <c r="F54" i="7"/>
  <c r="F35" i="7"/>
  <c r="F10" i="7"/>
  <c r="F129" i="7"/>
  <c r="F128" i="7" s="1"/>
  <c r="F127" i="7" s="1"/>
  <c r="F25" i="7" l="1"/>
  <c r="F126" i="7"/>
  <c r="F93" i="7"/>
  <c r="F92" i="7" s="1"/>
  <c r="F53" i="7"/>
  <c r="F52" i="7" s="1"/>
  <c r="E55" i="3"/>
  <c r="D48" i="3"/>
  <c r="D88" i="3"/>
  <c r="E88" i="3"/>
  <c r="D74" i="3"/>
  <c r="D68" i="3"/>
  <c r="D60" i="3"/>
  <c r="D53" i="3"/>
  <c r="D45" i="3"/>
  <c r="D43" i="3"/>
  <c r="E74" i="3" l="1"/>
  <c r="E68" i="3"/>
  <c r="E63" i="3"/>
  <c r="E62" i="3"/>
  <c r="E58" i="3"/>
  <c r="E57" i="3"/>
  <c r="E49" i="3"/>
  <c r="E50" i="3"/>
  <c r="E46" i="3"/>
  <c r="E45" i="3" s="1"/>
  <c r="E44" i="3"/>
  <c r="E43" i="3" s="1"/>
  <c r="E40" i="3"/>
  <c r="E92" i="3"/>
  <c r="E42" i="3"/>
  <c r="E41" i="3"/>
  <c r="E53" i="3" l="1"/>
  <c r="E39" i="3"/>
  <c r="E38" i="3" s="1"/>
  <c r="E48" i="3"/>
  <c r="D91" i="3"/>
  <c r="D87" i="3" s="1"/>
  <c r="D86" i="3" s="1"/>
  <c r="E91" i="3"/>
  <c r="E87" i="3" s="1"/>
  <c r="E86" i="3" s="1"/>
  <c r="D81" i="3"/>
  <c r="D80" i="3" s="1"/>
  <c r="D73" i="3"/>
  <c r="E73" i="3"/>
  <c r="E47" i="3" l="1"/>
  <c r="E37" i="3" s="1"/>
  <c r="E36" i="3" s="1"/>
  <c r="D47" i="3" l="1"/>
  <c r="D39" i="3"/>
  <c r="F24" i="7"/>
  <c r="F8" i="7" s="1"/>
  <c r="F7" i="7" s="1"/>
  <c r="D38" i="3" l="1"/>
  <c r="D37" i="3" s="1"/>
  <c r="D36" i="3" s="1"/>
  <c r="G34" i="10" l="1"/>
  <c r="B27" i="8" l="1"/>
  <c r="B29" i="8"/>
  <c r="B36" i="8"/>
  <c r="B20" i="8"/>
  <c r="B17" i="8"/>
  <c r="B13" i="8"/>
  <c r="D28" i="3"/>
  <c r="D23" i="3"/>
  <c r="D26" i="3"/>
  <c r="E20" i="3"/>
  <c r="E19" i="3" s="1"/>
  <c r="D20" i="3"/>
  <c r="D19" i="3" s="1"/>
  <c r="E11" i="3"/>
  <c r="D12" i="3"/>
  <c r="B10" i="8" l="1"/>
  <c r="E22" i="3"/>
  <c r="E10" i="3" s="1"/>
  <c r="E9" i="3" s="1"/>
  <c r="D11" i="3"/>
  <c r="D22" i="3"/>
  <c r="D10" i="3" l="1"/>
  <c r="D9" i="3" s="1"/>
  <c r="B33" i="8"/>
  <c r="B26" i="8" s="1"/>
  <c r="C11" i="5" l="1"/>
  <c r="C10" i="5" s="1"/>
  <c r="B12" i="5"/>
  <c r="B11" i="5" s="1"/>
  <c r="B10" i="5" s="1"/>
  <c r="C13" i="8"/>
  <c r="C10" i="8" s="1"/>
  <c r="G21" i="10" l="1"/>
  <c r="F11" i="10"/>
  <c r="F8" i="10"/>
  <c r="F14" i="10" l="1"/>
  <c r="G22" i="10"/>
</calcChain>
</file>

<file path=xl/sharedStrings.xml><?xml version="1.0" encoding="utf-8"?>
<sst xmlns="http://schemas.openxmlformats.org/spreadsheetml/2006/main" count="409" uniqueCount="175">
  <si>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</si>
  <si>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</si>
  <si>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</si>
  <si>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</si>
  <si>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</si>
  <si>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</si>
  <si>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</si>
  <si>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</si>
  <si>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</si>
  <si>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</si>
  <si>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</si>
  <si>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</si>
  <si>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</si>
  <si>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</si>
  <si>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</si>
  <si>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</si>
  <si>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</si>
  <si>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</si>
  <si>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</si>
  <si>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</si>
  <si>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</si>
  <si>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</si>
  <si>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</si>
  <si>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</si>
  <si>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</si>
  <si>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</si>
  <si>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Naziv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</si>
  <si>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</si>
  <si>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</si>
  <si>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</si>
  <si>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</si>
  <si>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</si>
  <si>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</si>
  <si>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</si>
  <si>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</si>
  <si>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</si>
  <si>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</si>
  <si>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</si>
  <si>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</si>
  <si>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</si>
  <si>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</si>
  <si>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</si>
  <si>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</si>
  <si>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</si>
  <si>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</si>
  <si>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</si>
  <si>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</si>
  <si>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</si>
  <si>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</si>
  <si>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</si>
  <si>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</si>
  <si>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</si>
  <si>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</si>
  <si>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</si>
  <si>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</si>
  <si>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</si>
  <si>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</si>
  <si>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</si>
  <si>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</si>
  <si>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</si>
  <si>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</si>
  <si>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Financijski rashodi</t>
  </si>
  <si>
    <t>Plaće (Bruto)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</si>
  <si>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</si>
  <si>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</si>
  <si>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</si>
  <si>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</si>
  <si>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</si>
  <si>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Opći prihodi i primici</t>
  </si>
  <si>
    <t>Vlastiti prihodi</t>
  </si>
  <si>
    <t>Materijal i sirovine</t>
  </si>
  <si>
    <t>Sitni inventar i autogume</t>
  </si>
  <si>
    <t>Rashodi za usluge</t>
  </si>
  <si>
    <t>Komunalne usluge</t>
  </si>
  <si>
    <t>Ostale usluge</t>
  </si>
  <si>
    <t>Zatezne kamate</t>
  </si>
  <si>
    <t>Knjige</t>
  </si>
  <si>
    <t>Službena putovanja</t>
  </si>
  <si>
    <t>Postrojenje i oprema</t>
  </si>
  <si>
    <t>Uredska oprema i namještaj</t>
  </si>
  <si>
    <t>Pomoći EU</t>
  </si>
  <si>
    <t>Energija</t>
  </si>
  <si>
    <t>Intelektualne i osobne usluge</t>
  </si>
  <si>
    <t>Računalne usluge</t>
  </si>
  <si>
    <t>Članarine</t>
  </si>
  <si>
    <t>Pristojbe i naknade</t>
  </si>
  <si>
    <t>Donacije</t>
  </si>
  <si>
    <t>Ostali financijski rashodi</t>
  </si>
  <si>
    <t>Naknade građanima i kućanstvima na temelju osiguranja
i druge naknade</t>
  </si>
  <si>
    <t xml:space="preserve">  51 Pomoći EU</t>
  </si>
  <si>
    <t>3 Vlastiti i ostali prihodi</t>
  </si>
  <si>
    <t>09 Obrazovanje</t>
  </si>
  <si>
    <t>PROGRAM 1013</t>
  </si>
  <si>
    <t>ŠKOLSTVO</t>
  </si>
  <si>
    <t>Izvor financiranja 11</t>
  </si>
  <si>
    <t>Izvor financiranja 31</t>
  </si>
  <si>
    <t>Rashodi za materijal i energiju</t>
  </si>
  <si>
    <t>Uredski materijal i ostali mater.ras.</t>
  </si>
  <si>
    <t>Izvor financiranja 51</t>
  </si>
  <si>
    <t>Izvor financiranja 52</t>
  </si>
  <si>
    <t>Zdravstvene i veterinarske usluge</t>
  </si>
  <si>
    <t>Izvor financiranja 43</t>
  </si>
  <si>
    <t>Ostali prihodi za posebne namjene</t>
  </si>
  <si>
    <t>Usluge telefona, pošte i prijevoza</t>
  </si>
  <si>
    <t>Izvor financiranja 61</t>
  </si>
  <si>
    <t>Aktivnost A101314 ostali izd. za osn. škole (izv. fin. vl. i ost. prihodi)</t>
  </si>
  <si>
    <t>Ostali nespomenuti prihodi</t>
  </si>
  <si>
    <t>Tekuće donacije</t>
  </si>
  <si>
    <t>6 Donacije</t>
  </si>
  <si>
    <t>Izvršenje 2023.</t>
  </si>
  <si>
    <t>Plan 2024.</t>
  </si>
  <si>
    <t>Prihodi od imovine</t>
  </si>
  <si>
    <t>Tekući plan 2024.</t>
  </si>
  <si>
    <t>Ostale pomoći i darovnice</t>
  </si>
  <si>
    <t>Rashodi za nabavu nefinancijske imovine</t>
  </si>
  <si>
    <t>Prihodi od upravnih i administrativnih pristojbi, pristojbi po posebnim propisima i naknada</t>
  </si>
  <si>
    <t>Dodatna ulaganja na građevinskim objektima</t>
  </si>
  <si>
    <t>Rashodi za dodatna ulaganja na nefinancijskoj imovini</t>
  </si>
  <si>
    <t>Tekuće pomoći proračunskim korisnicima</t>
  </si>
  <si>
    <t>Kapitalne pomoći proračunskim korisnicima</t>
  </si>
  <si>
    <t>Pomoći temeljem prijenosa EU sredstava</t>
  </si>
  <si>
    <t>Tekuće pomoći temeljem prijenosa EU sredstava</t>
  </si>
  <si>
    <t>Prihodi po posebnim propisima</t>
  </si>
  <si>
    <t>Prihodi od pruženih usluga</t>
  </si>
  <si>
    <t>Ostale naknade troškova zaposlenima</t>
  </si>
  <si>
    <t>Uredski materijal i ostali materijalni rashodi</t>
  </si>
  <si>
    <t>Materijal i dijelovi za tekuće i investicijsko održavanje</t>
  </si>
  <si>
    <t>Usluge tekućeg i investicijskog održavanja</t>
  </si>
  <si>
    <t>Ostali nespomenuti rashodi poslovanja</t>
  </si>
  <si>
    <t>Bankarske usluge i usluge platnog prometa</t>
  </si>
  <si>
    <t>Rashodi za nabavu proizvedene dugotrajne imovine</t>
  </si>
  <si>
    <t xml:space="preserve">Ostale naknade građanima i kućanstvima iz proračuna
</t>
  </si>
  <si>
    <t>Aktivnost T100115 - Projekt "Školska shema"</t>
  </si>
  <si>
    <t>Aktivnost T100117 - Projekt "Škole jednakih mogućnosti"</t>
  </si>
  <si>
    <t>Aktivnost A101301- Osnovno školstvo DEC</t>
  </si>
  <si>
    <t>Aktivnost A101319 - Projekt "Asistenti u nastavi"</t>
  </si>
  <si>
    <t>Rebalans 2024.</t>
  </si>
  <si>
    <t>Prijenosi između proračunskih korisnika istog proračuna</t>
  </si>
  <si>
    <t>Pomoći dane u inozemstvo i unutar općeg proračuna</t>
  </si>
  <si>
    <t>Tekući prijenosi između proračunskih korisnika istog proračuna temeljem prijenosa EU sredstava</t>
  </si>
  <si>
    <t>Ostali rashodi</t>
  </si>
  <si>
    <t>Tekući prijenosi između prorač. kor. istog pr. tem. prijenosa EU sredstava</t>
  </si>
  <si>
    <t>Ostale nespomenute usluge</t>
  </si>
  <si>
    <t>Pomoći proračunskim korisnicima iz proračuna koji im nije nadležan</t>
  </si>
  <si>
    <t>Kapitalne pomoći temeljem prijenosa EU sredstava</t>
  </si>
  <si>
    <t>Prihodi od prodaje proizvoda i robe te pruženih usluga, prihodi od donacija te povrati po protestiranim jamstvima</t>
  </si>
  <si>
    <t>Prihodi od prodaje proizvoda i robe te pruženih usluga</t>
  </si>
  <si>
    <t>Prihodi od prodaje proizvoda i robe</t>
  </si>
  <si>
    <t>Donacije od pravnih i fizičkih osoba izvan općeg proračuna i povrat donacija po protestiranim jamstvima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</si>
  <si>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</si>
  <si>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</si>
  <si>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</si>
  <si>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Doprinos za obvezno zdravstveno osiguranje</t>
  </si>
  <si>
    <t>Naknade troškova zaposlenima</t>
  </si>
  <si>
    <t>Naknade za prijevoz, za rad na terenu i odvojeni život</t>
  </si>
  <si>
    <t>Stručno usavršavanje zaposlenika</t>
  </si>
  <si>
    <t>Sitni inventar i auto gume</t>
  </si>
  <si>
    <t>Službena, radna i zaštitna odjeća i obuća</t>
  </si>
  <si>
    <t>Naknade za rad predstavničkih i izvršnih tijela, povjerenstava i slično</t>
  </si>
  <si>
    <t>Članarine i norme</t>
  </si>
  <si>
    <t>Naknade građanima i kućanstvima u naravi</t>
  </si>
  <si>
    <t>Tekuće donacije u naravi</t>
  </si>
  <si>
    <t>Uređaji, strojevi i oprema za ostale namjene</t>
  </si>
  <si>
    <t>Knjige, umjetnička djela i ostale izložbene vrijednosti</t>
  </si>
  <si>
    <t xml:space="preserve">  61 Donacije</t>
  </si>
  <si>
    <t xml:space="preserve">  31 Vlastiti i ostali prihodi</t>
  </si>
  <si>
    <t xml:space="preserve"> 091 Predškolsko i osnovno obrazovanje</t>
  </si>
  <si>
    <t xml:space="preserve">   09912 Osnovno obrazovanje</t>
  </si>
  <si>
    <t xml:space="preserve">   096 Dodatne usluge u obrazovanju</t>
  </si>
  <si>
    <t>Postrojenja i oprema</t>
  </si>
  <si>
    <t>Sužbena, radna i zaštitna odjeća i obuća</t>
  </si>
  <si>
    <t>Naknade građanima i kućanstvima na temelju osiguranja i druge naknade</t>
  </si>
  <si>
    <t>Ostale naknade građanima i kućanstvima iz proračuna</t>
  </si>
  <si>
    <t xml:space="preserve">Ostali rashodi    </t>
  </si>
  <si>
    <t>REBALANS FINANCIJSKOG PLANA OSNOVNE ŠKOLE SELNICA 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</si>
</sst>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22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3" borderId="1" xfId="0" quotePrefix="1" applyNumberFormat="1" applyFont="1" applyFill="1" applyBorder="1" applyAlignment="1">
      <alignment horizontal="right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0" xfId="0" quotePrefix="1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8" fillId="2" borderId="3" xfId="0" quotePrefix="1" applyFont="1" applyFill="1" applyBorder="1" applyAlignment="1">
      <alignment horizontal="left" vertical="top" wrapText="1"/>
    </xf>
    <xf numFmtId="0" fontId="7" fillId="2" borderId="3" xfId="0" quotePrefix="1" applyFont="1" applyFill="1" applyBorder="1" applyAlignment="1">
      <alignment horizontal="left" vertical="center" wrapText="1"/>
    </xf>
    <xf numFmtId="0" fontId="9" fillId="2" borderId="10" xfId="0" applyNumberFormat="1" applyFont="1" applyFill="1" applyBorder="1" applyAlignment="1" applyProtection="1">
      <alignment horizontal="left" vertical="center" wrapText="1"/>
    </xf>
    <xf numFmtId="0" fontId="7" fillId="2" borderId="10" xfId="0" quotePrefix="1" applyFont="1" applyFill="1" applyBorder="1" applyAlignment="1">
      <alignment horizontal="left" vertical="center"/>
    </xf>
    <xf numFmtId="0" fontId="18" fillId="2" borderId="10" xfId="0" applyFont="1" applyFill="1" applyBorder="1"/>
    <xf numFmtId="0" fontId="18" fillId="2" borderId="3" xfId="0" applyFont="1" applyFill="1" applyBorder="1" applyAlignment="1">
      <alignment wrapText="1"/>
    </xf>
    <xf numFmtId="0" fontId="7" fillId="2" borderId="3" xfId="0" quotePrefix="1" applyFont="1" applyFill="1" applyBorder="1" applyAlignment="1">
      <alignment horizontal="left" vertical="top" wrapText="1"/>
    </xf>
    <xf numFmtId="0" fontId="19" fillId="0" borderId="0" xfId="0" applyFont="1"/>
    <xf numFmtId="3" fontId="20" fillId="0" borderId="0" xfId="0" applyNumberFormat="1" applyFont="1"/>
    <xf numFmtId="0" fontId="17" fillId="2" borderId="3" xfId="0" quotePrefix="1" applyFont="1" applyFill="1" applyBorder="1" applyAlignment="1">
      <alignment horizontal="left" vertical="center"/>
    </xf>
    <xf numFmtId="3" fontId="0" fillId="0" borderId="0" xfId="0" applyNumberFormat="1"/>
    <xf numFmtId="4" fontId="19" fillId="0" borderId="0" xfId="0" applyNumberFormat="1" applyFont="1"/>
    <xf numFmtId="4" fontId="0" fillId="0" borderId="0" xfId="0" applyNumberFormat="1"/>
    <xf numFmtId="3" fontId="2" fillId="0" borderId="0" xfId="0" applyNumberFormat="1" applyFont="1" applyFill="1" applyBorder="1" applyAlignment="1" applyProtection="1">
      <alignment horizontal="center" vertical="center" wrapText="1"/>
    </xf>
    <xf numFmtId="3" fontId="23" fillId="3" borderId="1" xfId="0" quotePrefix="1" applyNumberFormat="1" applyFont="1" applyFill="1" applyBorder="1" applyAlignment="1">
      <alignment horizontal="right"/>
    </xf>
    <xf numFmtId="4" fontId="7" fillId="2" borderId="4" xfId="0" applyNumberFormat="1" applyFont="1" applyFill="1" applyBorder="1" applyAlignment="1">
      <alignment horizontal="right"/>
    </xf>
    <xf numFmtId="4" fontId="9" fillId="0" borderId="4" xfId="0" applyNumberFormat="1" applyFont="1" applyFill="1" applyBorder="1" applyAlignment="1" applyProtection="1">
      <alignment horizontal="right" vertical="center" wrapText="1"/>
    </xf>
    <xf numFmtId="4" fontId="9" fillId="2" borderId="4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Font="1"/>
    <xf numFmtId="4" fontId="7" fillId="0" borderId="3" xfId="0" applyNumberFormat="1" applyFont="1" applyFill="1" applyBorder="1" applyAlignment="1" applyProtection="1">
      <alignment vertical="center" wrapText="1"/>
    </xf>
    <xf numFmtId="4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4" fontId="23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Font="1"/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8" fillId="2" borderId="10" xfId="0" quotePrefix="1" applyFont="1" applyFill="1" applyBorder="1" applyAlignment="1">
      <alignment horizontal="left" vertical="center"/>
    </xf>
    <xf numFmtId="4" fontId="8" fillId="2" borderId="3" xfId="0" applyNumberFormat="1" applyFont="1" applyFill="1" applyBorder="1" applyAlignment="1">
      <alignment horizontal="right"/>
    </xf>
    <xf numFmtId="4" fontId="27" fillId="2" borderId="3" xfId="0" applyNumberFormat="1" applyFont="1" applyFill="1" applyBorder="1" applyAlignment="1">
      <alignment horizontal="right"/>
    </xf>
    <xf numFmtId="0" fontId="17" fillId="2" borderId="10" xfId="0" applyNumberFormat="1" applyFont="1" applyFill="1" applyBorder="1" applyAlignment="1" applyProtection="1">
      <alignment horizontal="left" vertical="center" wrapText="1"/>
    </xf>
    <xf numFmtId="0" fontId="27" fillId="2" borderId="10" xfId="0" applyFont="1" applyFill="1" applyBorder="1"/>
    <xf numFmtId="0" fontId="27" fillId="2" borderId="3" xfId="0" applyFont="1" applyFill="1" applyBorder="1"/>
    <xf numFmtId="0" fontId="27" fillId="2" borderId="3" xfId="0" applyFont="1" applyFill="1" applyBorder="1" applyAlignment="1">
      <alignment wrapText="1"/>
    </xf>
    <xf numFmtId="4" fontId="7" fillId="2" borderId="3" xfId="0" applyNumberFormat="1" applyFont="1" applyFill="1" applyBorder="1"/>
    <xf numFmtId="4" fontId="8" fillId="2" borderId="3" xfId="0" applyNumberFormat="1" applyFont="1" applyFill="1" applyBorder="1"/>
    <xf numFmtId="4" fontId="7" fillId="2" borderId="3" xfId="0" applyNumberFormat="1" applyFont="1" applyFill="1" applyBorder="1" applyAlignment="1">
      <alignment horizontal="right"/>
    </xf>
    <xf numFmtId="4" fontId="7" fillId="0" borderId="3" xfId="0" applyNumberFormat="1" applyFont="1" applyFill="1" applyBorder="1" applyAlignment="1">
      <alignment horizontal="right"/>
    </xf>
    <xf numFmtId="4" fontId="0" fillId="0" borderId="0" xfId="0" applyNumberFormat="1" applyFill="1"/>
    <xf numFmtId="0" fontId="7" fillId="2" borderId="3" xfId="0" applyNumberFormat="1" applyFont="1" applyFill="1" applyBorder="1" applyAlignment="1" applyProtection="1">
      <alignment horizontal="left" vertical="top" wrapText="1"/>
    </xf>
    <xf numFmtId="4" fontId="3" fillId="2" borderId="3" xfId="0" applyNumberFormat="1" applyFont="1" applyFill="1" applyBorder="1" applyAlignment="1">
      <alignment horizontal="right"/>
    </xf>
    <xf numFmtId="4" fontId="9" fillId="3" borderId="3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3" fontId="9" fillId="3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Alignment="1" applyProtection="1">
      <alignment horizontal="right" vertical="center" wrapText="1"/>
    </xf>
    <xf numFmtId="3" fontId="6" fillId="0" borderId="0" xfId="0" applyNumberFormat="1" applyFont="1" applyFill="1" applyBorder="1" applyAlignment="1" applyProtection="1">
      <alignment horizontal="right" vertical="center" wrapText="1"/>
    </xf>
    <xf numFmtId="0" fontId="7" fillId="2" borderId="3" xfId="0" quotePrefix="1" applyFont="1" applyFill="1" applyBorder="1" applyAlignment="1">
      <alignment horizontal="center" vertical="center"/>
    </xf>
    <xf numFmtId="4" fontId="0" fillId="0" borderId="0" xfId="0" applyNumberFormat="1" applyFont="1"/>
    <xf numFmtId="0" fontId="0" fillId="0" borderId="0" xfId="0" applyFont="1" applyBorder="1"/>
    <xf numFmtId="4" fontId="0" fillId="0" borderId="0" xfId="0" applyNumberFormat="1" applyFont="1" applyBorder="1"/>
    <xf numFmtId="0" fontId="8" fillId="2" borderId="3" xfId="0" quotePrefix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 applyProtection="1">
      <alignment horizontal="center" vertical="center" wrapText="1"/>
    </xf>
    <xf numFmtId="4" fontId="8" fillId="2" borderId="12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 applyProtection="1">
      <alignment horizontal="center" vertical="center" wrapText="1"/>
    </xf>
    <xf numFmtId="0" fontId="9" fillId="4" borderId="4" xfId="0" applyNumberFormat="1" applyFont="1" applyFill="1" applyBorder="1" applyAlignment="1" applyProtection="1">
      <alignment horizontal="center" vertical="center" wrapText="1"/>
    </xf>
    <xf numFmtId="4" fontId="28" fillId="0" borderId="3" xfId="0" applyNumberFormat="1" applyFont="1" applyBorder="1"/>
    <xf numFmtId="0" fontId="9" fillId="4" borderId="3" xfId="0" applyNumberFormat="1" applyFont="1" applyFill="1" applyBorder="1" applyAlignment="1" applyProtection="1">
      <alignment horizontal="center" vertical="center" wrapText="1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9" fillId="4" borderId="1" xfId="0" quotePrefix="1" applyNumberFormat="1" applyFont="1" applyFill="1" applyBorder="1" applyAlignment="1">
      <alignment horizontal="right"/>
    </xf>
    <xf numFmtId="4" fontId="9" fillId="3" borderId="1" xfId="0" quotePrefix="1" applyNumberFormat="1" applyFont="1" applyFill="1" applyBorder="1" applyAlignment="1">
      <alignment horizontal="right"/>
    </xf>
    <xf numFmtId="0" fontId="9" fillId="5" borderId="3" xfId="0" applyNumberFormat="1" applyFont="1" applyFill="1" applyBorder="1" applyAlignment="1" applyProtection="1">
      <alignment vertical="center" wrapText="1"/>
    </xf>
    <xf numFmtId="4" fontId="9" fillId="5" borderId="3" xfId="0" applyNumberFormat="1" applyFont="1" applyFill="1" applyBorder="1" applyAlignment="1">
      <alignment vertical="center"/>
    </xf>
    <xf numFmtId="4" fontId="6" fillId="5" borderId="3" xfId="0" applyNumberFormat="1" applyFont="1" applyFill="1" applyBorder="1" applyAlignment="1">
      <alignment vertical="center"/>
    </xf>
    <xf numFmtId="0" fontId="9" fillId="5" borderId="3" xfId="0" quotePrefix="1" applyFont="1" applyFill="1" applyBorder="1" applyAlignment="1">
      <alignment horizontal="center" vertical="center"/>
    </xf>
    <xf numFmtId="4" fontId="9" fillId="5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0" fontId="6" fillId="5" borderId="3" xfId="0" applyNumberFormat="1" applyFont="1" applyFill="1" applyBorder="1" applyAlignment="1" applyProtection="1">
      <alignment horizontal="center" vertical="center" wrapText="1"/>
    </xf>
    <xf numFmtId="4" fontId="6" fillId="5" borderId="3" xfId="0" applyNumberFormat="1" applyFont="1" applyFill="1" applyBorder="1" applyAlignment="1" applyProtection="1">
      <alignment horizontal="right" vertical="center" wrapText="1"/>
    </xf>
    <xf numFmtId="0" fontId="9" fillId="5" borderId="10" xfId="0" applyNumberFormat="1" applyFont="1" applyFill="1" applyBorder="1" applyAlignment="1" applyProtection="1">
      <alignment horizontal="left" vertical="center" wrapText="1"/>
    </xf>
    <xf numFmtId="0" fontId="9" fillId="5" borderId="10" xfId="0" quotePrefix="1" applyFont="1" applyFill="1" applyBorder="1" applyAlignment="1">
      <alignment horizontal="left" vertical="center"/>
    </xf>
    <xf numFmtId="0" fontId="9" fillId="5" borderId="3" xfId="0" quotePrefix="1" applyFont="1" applyFill="1" applyBorder="1" applyAlignment="1">
      <alignment horizontal="left" vertical="center"/>
    </xf>
    <xf numFmtId="0" fontId="9" fillId="5" borderId="3" xfId="0" quotePrefix="1" applyFont="1" applyFill="1" applyBorder="1" applyAlignment="1">
      <alignment horizontal="left" vertical="center" wrapText="1"/>
    </xf>
    <xf numFmtId="0" fontId="21" fillId="5" borderId="10" xfId="0" applyFont="1" applyFill="1" applyBorder="1"/>
    <xf numFmtId="0" fontId="21" fillId="5" borderId="3" xfId="0" applyFont="1" applyFill="1" applyBorder="1" applyAlignment="1">
      <alignment wrapText="1"/>
    </xf>
    <xf numFmtId="4" fontId="9" fillId="5" borderId="3" xfId="0" applyNumberFormat="1" applyFont="1" applyFill="1" applyBorder="1"/>
    <xf numFmtId="0" fontId="18" fillId="2" borderId="3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0" fontId="21" fillId="5" borderId="3" xfId="0" applyFont="1" applyFill="1" applyBorder="1" applyAlignment="1">
      <alignment horizontal="center"/>
    </xf>
    <xf numFmtId="0" fontId="18" fillId="5" borderId="3" xfId="0" applyFont="1" applyFill="1" applyBorder="1" applyAlignment="1">
      <alignment horizontal="left"/>
    </xf>
    <xf numFmtId="0" fontId="18" fillId="5" borderId="3" xfId="0" applyFont="1" applyFill="1" applyBorder="1" applyAlignment="1">
      <alignment wrapText="1"/>
    </xf>
    <xf numFmtId="4" fontId="7" fillId="5" borderId="3" xfId="0" applyNumberFormat="1" applyFont="1" applyFill="1" applyBorder="1"/>
    <xf numFmtId="0" fontId="18" fillId="5" borderId="10" xfId="0" applyFont="1" applyFill="1" applyBorder="1"/>
    <xf numFmtId="0" fontId="27" fillId="5" borderId="11" xfId="0" applyFont="1" applyFill="1" applyBorder="1"/>
    <xf numFmtId="0" fontId="27" fillId="5" borderId="12" xfId="0" applyFont="1" applyFill="1" applyBorder="1" applyAlignment="1">
      <alignment horizontal="left"/>
    </xf>
    <xf numFmtId="0" fontId="27" fillId="5" borderId="12" xfId="0" applyFont="1" applyFill="1" applyBorder="1" applyAlignment="1">
      <alignment horizontal="left" vertical="center" wrapText="1"/>
    </xf>
    <xf numFmtId="4" fontId="8" fillId="5" borderId="12" xfId="0" applyNumberFormat="1" applyFont="1" applyFill="1" applyBorder="1"/>
    <xf numFmtId="0" fontId="21" fillId="5" borderId="16" xfId="0" applyFont="1" applyFill="1" applyBorder="1"/>
    <xf numFmtId="0" fontId="21" fillId="5" borderId="6" xfId="0" applyFont="1" applyFill="1" applyBorder="1" applyAlignment="1">
      <alignment horizontal="center"/>
    </xf>
    <xf numFmtId="0" fontId="21" fillId="5" borderId="6" xfId="0" applyFont="1" applyFill="1" applyBorder="1" applyAlignment="1">
      <alignment wrapText="1"/>
    </xf>
    <xf numFmtId="4" fontId="9" fillId="5" borderId="6" xfId="0" applyNumberFormat="1" applyFont="1" applyFill="1" applyBorder="1"/>
    <xf numFmtId="0" fontId="9" fillId="5" borderId="17" xfId="0" quotePrefix="1" applyFont="1" applyFill="1" applyBorder="1" applyAlignment="1">
      <alignment horizontal="left" vertical="center"/>
    </xf>
    <xf numFmtId="0" fontId="9" fillId="5" borderId="18" xfId="0" quotePrefix="1" applyFont="1" applyFill="1" applyBorder="1" applyAlignment="1">
      <alignment horizontal="left" vertical="center"/>
    </xf>
    <xf numFmtId="0" fontId="9" fillId="5" borderId="18" xfId="0" quotePrefix="1" applyFont="1" applyFill="1" applyBorder="1" applyAlignment="1">
      <alignment horizontal="left" vertical="center" wrapText="1"/>
    </xf>
    <xf numFmtId="4" fontId="9" fillId="5" borderId="18" xfId="0" applyNumberFormat="1" applyFont="1" applyFill="1" applyBorder="1" applyAlignment="1">
      <alignment horizontal="right"/>
    </xf>
    <xf numFmtId="0" fontId="9" fillId="5" borderId="6" xfId="0" applyNumberFormat="1" applyFont="1" applyFill="1" applyBorder="1" applyAlignment="1" applyProtection="1">
      <alignment horizontal="left" vertical="center" wrapText="1"/>
    </xf>
    <xf numFmtId="0" fontId="9" fillId="5" borderId="6" xfId="0" applyNumberFormat="1" applyFont="1" applyFill="1" applyBorder="1" applyAlignment="1" applyProtection="1">
      <alignment horizontal="center" vertical="center" wrapText="1"/>
    </xf>
    <xf numFmtId="4" fontId="9" fillId="5" borderId="6" xfId="0" applyNumberFormat="1" applyFont="1" applyFill="1" applyBorder="1" applyAlignment="1">
      <alignment horizontal="right"/>
    </xf>
    <xf numFmtId="0" fontId="9" fillId="5" borderId="17" xfId="0" applyNumberFormat="1" applyFont="1" applyFill="1" applyBorder="1" applyAlignment="1" applyProtection="1">
      <alignment horizontal="center" vertical="center" wrapText="1"/>
    </xf>
    <xf numFmtId="0" fontId="9" fillId="5" borderId="18" xfId="0" applyNumberFormat="1" applyFont="1" applyFill="1" applyBorder="1" applyAlignment="1" applyProtection="1">
      <alignment horizontal="left" vertical="center" wrapText="1"/>
    </xf>
    <xf numFmtId="0" fontId="6" fillId="4" borderId="17" xfId="0" applyNumberFormat="1" applyFont="1" applyFill="1" applyBorder="1" applyAlignment="1" applyProtection="1">
      <alignment horizontal="center" vertical="center" wrapText="1"/>
    </xf>
    <xf numFmtId="0" fontId="6" fillId="4" borderId="18" xfId="0" applyNumberFormat="1" applyFont="1" applyFill="1" applyBorder="1" applyAlignment="1" applyProtection="1">
      <alignment horizontal="center" vertical="center" wrapText="1"/>
    </xf>
    <xf numFmtId="0" fontId="6" fillId="5" borderId="17" xfId="0" applyNumberFormat="1" applyFont="1" applyFill="1" applyBorder="1" applyAlignment="1" applyProtection="1">
      <alignment horizontal="center" vertical="center" wrapText="1"/>
    </xf>
    <xf numFmtId="0" fontId="6" fillId="5" borderId="18" xfId="0" applyNumberFormat="1" applyFont="1" applyFill="1" applyBorder="1" applyAlignment="1" applyProtection="1">
      <alignment horizontal="center" vertical="center" wrapText="1"/>
    </xf>
    <xf numFmtId="0" fontId="6" fillId="5" borderId="18" xfId="0" applyNumberFormat="1" applyFont="1" applyFill="1" applyBorder="1" applyAlignment="1" applyProtection="1">
      <alignment horizontal="left" vertical="center" wrapText="1"/>
    </xf>
    <xf numFmtId="4" fontId="6" fillId="5" borderId="18" xfId="0" applyNumberFormat="1" applyFont="1" applyFill="1" applyBorder="1" applyAlignment="1" applyProtection="1">
      <alignment horizontal="right" vertical="center" wrapText="1"/>
    </xf>
    <xf numFmtId="0" fontId="9" fillId="5" borderId="16" xfId="0" applyNumberFormat="1" applyFont="1" applyFill="1" applyBorder="1" applyAlignment="1" applyProtection="1">
      <alignment horizontal="left" vertical="center" wrapText="1"/>
    </xf>
    <xf numFmtId="0" fontId="8" fillId="2" borderId="11" xfId="0" quotePrefix="1" applyFont="1" applyFill="1" applyBorder="1" applyAlignment="1">
      <alignment horizontal="left" vertical="center"/>
    </xf>
    <xf numFmtId="0" fontId="8" fillId="2" borderId="12" xfId="0" quotePrefix="1" applyFont="1" applyFill="1" applyBorder="1" applyAlignment="1">
      <alignment horizontal="left" vertical="center"/>
    </xf>
    <xf numFmtId="0" fontId="8" fillId="2" borderId="12" xfId="0" quotePrefix="1" applyFont="1" applyFill="1" applyBorder="1" applyAlignment="1">
      <alignment horizontal="left" vertical="center" wrapText="1"/>
    </xf>
    <xf numFmtId="0" fontId="9" fillId="5" borderId="6" xfId="0" applyNumberFormat="1" applyFont="1" applyFill="1" applyBorder="1" applyAlignment="1" applyProtection="1">
      <alignment vertical="center" wrapText="1"/>
    </xf>
    <xf numFmtId="4" fontId="9" fillId="5" borderId="6" xfId="0" applyNumberFormat="1" applyFont="1" applyFill="1" applyBorder="1" applyAlignment="1">
      <alignment vertical="center"/>
    </xf>
    <xf numFmtId="4" fontId="6" fillId="5" borderId="6" xfId="0" applyNumberFormat="1" applyFont="1" applyFill="1" applyBorder="1" applyAlignment="1">
      <alignment vertical="center"/>
    </xf>
    <xf numFmtId="0" fontId="9" fillId="5" borderId="11" xfId="0" applyNumberFormat="1" applyFont="1" applyFill="1" applyBorder="1" applyAlignment="1" applyProtection="1">
      <alignment horizontal="center" vertical="center" wrapText="1"/>
    </xf>
    <xf numFmtId="0" fontId="9" fillId="5" borderId="12" xfId="0" applyNumberFormat="1" applyFont="1" applyFill="1" applyBorder="1" applyAlignment="1" applyProtection="1">
      <alignment horizontal="left" vertical="center" wrapText="1"/>
    </xf>
    <xf numFmtId="4" fontId="9" fillId="5" borderId="12" xfId="0" applyNumberFormat="1" applyFont="1" applyFill="1" applyBorder="1" applyAlignment="1">
      <alignment horizontal="right"/>
    </xf>
    <xf numFmtId="4" fontId="6" fillId="5" borderId="12" xfId="0" applyNumberFormat="1" applyFont="1" applyFill="1" applyBorder="1" applyAlignment="1">
      <alignment horizontal="right"/>
    </xf>
    <xf numFmtId="0" fontId="6" fillId="4" borderId="19" xfId="0" applyNumberFormat="1" applyFont="1" applyFill="1" applyBorder="1" applyAlignment="1" applyProtection="1">
      <alignment horizontal="center" vertical="center" wrapText="1"/>
    </xf>
    <xf numFmtId="0" fontId="6" fillId="4" borderId="20" xfId="0" applyNumberFormat="1" applyFont="1" applyFill="1" applyBorder="1" applyAlignment="1" applyProtection="1">
      <alignment horizontal="center" vertical="center" wrapText="1"/>
    </xf>
    <xf numFmtId="0" fontId="6" fillId="5" borderId="7" xfId="0" applyNumberFormat="1" applyFont="1" applyFill="1" applyBorder="1" applyAlignment="1" applyProtection="1">
      <alignment horizontal="center" vertical="center" wrapText="1"/>
    </xf>
    <xf numFmtId="0" fontId="6" fillId="5" borderId="8" xfId="0" applyNumberFormat="1" applyFont="1" applyFill="1" applyBorder="1" applyAlignment="1" applyProtection="1">
      <alignment horizontal="center" vertical="center" wrapText="1"/>
    </xf>
    <xf numFmtId="0" fontId="6" fillId="5" borderId="8" xfId="0" applyNumberFormat="1" applyFont="1" applyFill="1" applyBorder="1" applyAlignment="1" applyProtection="1">
      <alignment horizontal="left" vertical="center" wrapText="1"/>
    </xf>
    <xf numFmtId="4" fontId="9" fillId="5" borderId="8" xfId="0" applyNumberFormat="1" applyFont="1" applyFill="1" applyBorder="1" applyAlignment="1" applyProtection="1">
      <alignment horizontal="right" vertical="center" wrapText="1"/>
    </xf>
    <xf numFmtId="4" fontId="6" fillId="5" borderId="8" xfId="0" applyNumberFormat="1" applyFont="1" applyFill="1" applyBorder="1" applyAlignment="1" applyProtection="1">
      <alignment horizontal="right" vertical="center" wrapText="1"/>
    </xf>
    <xf numFmtId="0" fontId="7" fillId="5" borderId="10" xfId="0" quotePrefix="1" applyFont="1" applyFill="1" applyBorder="1" applyAlignment="1">
      <alignment horizontal="left" vertical="center"/>
    </xf>
    <xf numFmtId="4" fontId="9" fillId="5" borderId="3" xfId="0" applyNumberFormat="1" applyFont="1" applyFill="1" applyBorder="1" applyAlignment="1" applyProtection="1">
      <alignment vertical="center" wrapText="1"/>
    </xf>
    <xf numFmtId="4" fontId="9" fillId="4" borderId="3" xfId="0" applyNumberFormat="1" applyFont="1" applyFill="1" applyBorder="1" applyAlignment="1" applyProtection="1">
      <alignment horizontal="right" vertical="center" wrapText="1"/>
    </xf>
    <xf numFmtId="0" fontId="8" fillId="2" borderId="12" xfId="0" applyNumberFormat="1" applyFont="1" applyFill="1" applyBorder="1" applyAlignment="1" applyProtection="1">
      <alignment horizontal="center" vertical="center" wrapText="1"/>
    </xf>
    <xf numFmtId="0" fontId="7" fillId="0" borderId="2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4" borderId="3" xfId="0" applyNumberFormat="1" applyFont="1" applyFill="1" applyBorder="1" applyAlignment="1" applyProtection="1">
      <alignment horizontal="center" vertical="center" wrapText="1"/>
    </xf>
    <xf numFmtId="4" fontId="12" fillId="2" borderId="3" xfId="0" applyNumberFormat="1" applyFont="1" applyFill="1" applyBorder="1" applyAlignment="1">
      <alignment horizontal="right"/>
    </xf>
    <xf numFmtId="0" fontId="8" fillId="2" borderId="12" xfId="0" applyNumberFormat="1" applyFont="1" applyFill="1" applyBorder="1" applyAlignment="1" applyProtection="1">
      <alignment horizontal="left" vertical="center" wrapText="1"/>
    </xf>
    <xf numFmtId="4" fontId="12" fillId="2" borderId="12" xfId="0" applyNumberFormat="1" applyFont="1" applyFill="1" applyBorder="1" applyAlignment="1">
      <alignment horizontal="right"/>
    </xf>
    <xf numFmtId="0" fontId="9" fillId="5" borderId="3" xfId="0" quotePrefix="1" applyFont="1" applyFill="1" applyBorder="1" applyAlignment="1">
      <alignment vertical="center" wrapText="1"/>
    </xf>
    <xf numFmtId="4" fontId="6" fillId="5" borderId="3" xfId="0" applyNumberFormat="1" applyFont="1" applyFill="1" applyBorder="1" applyAlignment="1">
      <alignment horizontal="right"/>
    </xf>
    <xf numFmtId="0" fontId="29" fillId="0" borderId="0" xfId="0" applyFont="1"/>
    <xf numFmtId="0" fontId="7" fillId="0" borderId="3" xfId="1" applyFont="1" applyBorder="1" applyAlignment="1">
      <alignment horizontal="left" vertical="center" wrapText="1"/>
    </xf>
    <xf numFmtId="0" fontId="9" fillId="5" borderId="3" xfId="1" applyFont="1" applyFill="1" applyBorder="1" applyAlignment="1">
      <alignment horizontal="left" vertical="center" wrapText="1"/>
    </xf>
    <xf numFmtId="0" fontId="7" fillId="2" borderId="22" xfId="0" quotePrefix="1" applyFont="1" applyFill="1" applyBorder="1" applyAlignment="1">
      <alignment horizontal="left" vertical="center"/>
    </xf>
    <xf numFmtId="0" fontId="7" fillId="2" borderId="23" xfId="0" quotePrefix="1" applyFont="1" applyFill="1" applyBorder="1" applyAlignment="1">
      <alignment horizontal="left" vertical="center"/>
    </xf>
    <xf numFmtId="4" fontId="7" fillId="2" borderId="23" xfId="0" applyNumberFormat="1" applyFont="1" applyFill="1" applyBorder="1" applyAlignment="1">
      <alignment horizontal="right"/>
    </xf>
    <xf numFmtId="0" fontId="17" fillId="5" borderId="22" xfId="0" quotePrefix="1" applyFont="1" applyFill="1" applyBorder="1" applyAlignment="1">
      <alignment horizontal="left" vertical="center"/>
    </xf>
    <xf numFmtId="0" fontId="17" fillId="5" borderId="23" xfId="0" quotePrefix="1" applyFont="1" applyFill="1" applyBorder="1" applyAlignment="1">
      <alignment horizontal="center" vertical="center"/>
    </xf>
    <xf numFmtId="4" fontId="17" fillId="5" borderId="23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 applyProtection="1">
      <alignment horizontal="right" vertical="center" wrapText="1"/>
    </xf>
    <xf numFmtId="4" fontId="12" fillId="0" borderId="3" xfId="0" applyNumberFormat="1" applyFont="1" applyFill="1" applyBorder="1" applyAlignment="1" applyProtection="1">
      <alignment horizontal="right" vertical="center" wrapText="1"/>
    </xf>
    <xf numFmtId="4" fontId="26" fillId="0" borderId="0" xfId="0" applyNumberFormat="1" applyFont="1"/>
    <xf numFmtId="0" fontId="3" fillId="0" borderId="3" xfId="2" applyFont="1" applyBorder="1" applyAlignment="1">
      <alignment horizontal="center" wrapText="1"/>
    </xf>
    <xf numFmtId="4" fontId="8" fillId="2" borderId="3" xfId="0" applyNumberFormat="1" applyFont="1" applyFill="1" applyBorder="1" applyAlignment="1">
      <alignment horizontal="right" vertical="center"/>
    </xf>
    <xf numFmtId="4" fontId="1" fillId="0" borderId="0" xfId="0" applyNumberFormat="1" applyFont="1"/>
    <xf numFmtId="0" fontId="9" fillId="5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12" fillId="2" borderId="12" xfId="0" applyNumberFormat="1" applyFont="1" applyFill="1" applyBorder="1" applyAlignment="1" applyProtection="1">
      <alignment horizontal="center" vertical="center" wrapText="1"/>
    </xf>
    <xf numFmtId="0" fontId="9" fillId="4" borderId="3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4" fontId="8" fillId="2" borderId="4" xfId="0" applyNumberFormat="1" applyFont="1" applyFill="1" applyBorder="1" applyAlignment="1">
      <alignment horizontal="right"/>
    </xf>
    <xf numFmtId="4" fontId="30" fillId="0" borderId="3" xfId="0" applyNumberFormat="1" applyFont="1" applyBorder="1"/>
    <xf numFmtId="4" fontId="30" fillId="2" borderId="3" xfId="0" applyNumberFormat="1" applyFont="1" applyFill="1" applyBorder="1"/>
    <xf numFmtId="0" fontId="8" fillId="2" borderId="3" xfId="0" applyFont="1" applyFill="1" applyBorder="1" applyAlignment="1">
      <alignment horizontal="left" vertical="center"/>
    </xf>
    <xf numFmtId="4" fontId="7" fillId="2" borderId="3" xfId="0" applyNumberFormat="1" applyFont="1" applyFill="1" applyBorder="1" applyAlignment="1">
      <alignment horizontal="right" vertical="center"/>
    </xf>
    <xf numFmtId="0" fontId="8" fillId="2" borderId="12" xfId="0" quotePrefix="1" applyFont="1" applyFill="1" applyBorder="1" applyAlignment="1">
      <alignment horizontal="center" vertical="center" wrapText="1"/>
    </xf>
    <xf numFmtId="0" fontId="8" fillId="2" borderId="3" xfId="0" quotePrefix="1" applyFont="1" applyFill="1" applyBorder="1" applyAlignment="1">
      <alignment horizontal="center" vertical="center" wrapText="1"/>
    </xf>
    <xf numFmtId="4" fontId="8" fillId="0" borderId="12" xfId="0" applyNumberFormat="1" applyFont="1" applyFill="1" applyBorder="1" applyAlignment="1" applyProtection="1">
      <alignment vertical="center" wrapText="1"/>
    </xf>
    <xf numFmtId="4" fontId="7" fillId="0" borderId="3" xfId="0" applyNumberFormat="1" applyFont="1" applyFill="1" applyBorder="1" applyAlignment="1">
      <alignment horizontal="right" vertical="center"/>
    </xf>
    <xf numFmtId="4" fontId="8" fillId="0" borderId="3" xfId="0" applyNumberFormat="1" applyFont="1" applyFill="1" applyBorder="1" applyAlignment="1">
      <alignment horizontal="right" vertical="center"/>
    </xf>
    <xf numFmtId="4" fontId="8" fillId="2" borderId="12" xfId="0" applyNumberFormat="1" applyFont="1" applyFill="1" applyBorder="1" applyAlignment="1">
      <alignment horizontal="right" vertical="center"/>
    </xf>
    <xf numFmtId="4" fontId="8" fillId="0" borderId="12" xfId="0" applyNumberFormat="1" applyFont="1" applyFill="1" applyBorder="1" applyAlignment="1">
      <alignment horizontal="right" vertical="center"/>
    </xf>
    <xf numFmtId="4" fontId="8" fillId="2" borderId="23" xfId="0" applyNumberFormat="1" applyFont="1" applyFill="1" applyBorder="1" applyAlignment="1">
      <alignment horizontal="right" vertical="center"/>
    </xf>
    <xf numFmtId="0" fontId="6" fillId="5" borderId="6" xfId="0" applyNumberFormat="1" applyFont="1" applyFill="1" applyBorder="1" applyAlignment="1" applyProtection="1">
      <alignment horizontal="center" vertical="center" wrapText="1"/>
    </xf>
    <xf numFmtId="4" fontId="9" fillId="4" borderId="18" xfId="0" applyNumberFormat="1" applyFont="1" applyFill="1" applyBorder="1" applyAlignment="1" applyProtection="1">
      <alignment horizontal="right" vertical="center" wrapText="1"/>
    </xf>
    <xf numFmtId="0" fontId="12" fillId="2" borderId="23" xfId="0" applyNumberFormat="1" applyFont="1" applyFill="1" applyBorder="1" applyAlignment="1" applyProtection="1">
      <alignment horizontal="center" vertical="center" wrapText="1"/>
    </xf>
    <xf numFmtId="4" fontId="9" fillId="5" borderId="3" xfId="0" applyNumberFormat="1" applyFont="1" applyFill="1" applyBorder="1" applyAlignment="1">
      <alignment horizontal="right" vertical="center"/>
    </xf>
    <xf numFmtId="4" fontId="6" fillId="4" borderId="3" xfId="0" applyNumberFormat="1" applyFont="1" applyFill="1" applyBorder="1" applyAlignment="1" applyProtection="1">
      <alignment horizontal="right" vertical="center" wrapText="1"/>
    </xf>
    <xf numFmtId="4" fontId="6" fillId="4" borderId="18" xfId="0" applyNumberFormat="1" applyFont="1" applyFill="1" applyBorder="1" applyAlignment="1" applyProtection="1">
      <alignment horizontal="right" vertical="center" wrapText="1"/>
    </xf>
    <xf numFmtId="4" fontId="9" fillId="5" borderId="6" xfId="0" applyNumberFormat="1" applyFont="1" applyFill="1" applyBorder="1" applyAlignment="1" applyProtection="1">
      <alignment vertical="center" wrapText="1"/>
    </xf>
    <xf numFmtId="0" fontId="6" fillId="4" borderId="6" xfId="0" applyNumberFormat="1" applyFont="1" applyFill="1" applyBorder="1" applyAlignment="1" applyProtection="1">
      <alignment horizontal="center" vertical="center" wrapText="1"/>
    </xf>
    <xf numFmtId="4" fontId="9" fillId="4" borderId="6" xfId="0" applyNumberFormat="1" applyFont="1" applyFill="1" applyBorder="1" applyAlignment="1" applyProtection="1">
      <alignment horizontal="right" vertical="center" wrapText="1"/>
    </xf>
    <xf numFmtId="0" fontId="9" fillId="4" borderId="6" xfId="0" applyNumberFormat="1" applyFont="1" applyFill="1" applyBorder="1" applyAlignment="1" applyProtection="1">
      <alignment horizontal="center" vertical="center" wrapText="1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14" xfId="0" applyNumberFormat="1" applyFont="1" applyFill="1" applyBorder="1" applyAlignment="1" applyProtection="1">
      <alignment horizontal="center" vertical="center" wrapText="1"/>
    </xf>
    <xf numFmtId="0" fontId="12" fillId="2" borderId="9" xfId="0" applyNumberFormat="1" applyFont="1" applyFill="1" applyBorder="1" applyAlignment="1" applyProtection="1">
      <alignment horizontal="center" vertical="center" wrapText="1"/>
    </xf>
    <xf numFmtId="4" fontId="7" fillId="0" borderId="29" xfId="0" applyNumberFormat="1" applyFont="1" applyFill="1" applyBorder="1" applyAlignment="1" applyProtection="1">
      <alignment vertical="center" wrapText="1"/>
    </xf>
    <xf numFmtId="4" fontId="9" fillId="4" borderId="18" xfId="0" applyNumberFormat="1" applyFont="1" applyFill="1" applyBorder="1" applyAlignment="1" applyProtection="1">
      <alignment vertical="center" wrapText="1"/>
    </xf>
    <xf numFmtId="0" fontId="8" fillId="4" borderId="31" xfId="0" applyNumberFormat="1" applyFont="1" applyFill="1" applyBorder="1" applyAlignment="1" applyProtection="1">
      <alignment horizontal="center" vertical="center" wrapText="1"/>
    </xf>
    <xf numFmtId="3" fontId="8" fillId="4" borderId="31" xfId="0" applyNumberFormat="1" applyFont="1" applyFill="1" applyBorder="1" applyAlignment="1">
      <alignment horizontal="center"/>
    </xf>
    <xf numFmtId="0" fontId="0" fillId="0" borderId="3" xfId="0" applyBorder="1"/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22" fillId="0" borderId="0" xfId="0" applyFont="1" applyAlignment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9" fillId="5" borderId="10" xfId="0" applyNumberFormat="1" applyFont="1" applyFill="1" applyBorder="1" applyAlignment="1" applyProtection="1">
      <alignment horizontal="center" vertical="center" wrapText="1"/>
    </xf>
    <xf numFmtId="0" fontId="9" fillId="5" borderId="3" xfId="0" applyNumberFormat="1" applyFont="1" applyFill="1" applyBorder="1" applyAlignment="1" applyProtection="1">
      <alignment horizontal="center" vertical="center" wrapText="1"/>
    </xf>
    <xf numFmtId="0" fontId="7" fillId="2" borderId="10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12" fillId="0" borderId="22" xfId="0" applyNumberFormat="1" applyFont="1" applyFill="1" applyBorder="1" applyAlignment="1" applyProtection="1">
      <alignment horizontal="center" vertical="center" wrapText="1"/>
    </xf>
    <xf numFmtId="0" fontId="12" fillId="0" borderId="23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0" fontId="9" fillId="4" borderId="10" xfId="0" applyNumberFormat="1" applyFont="1" applyFill="1" applyBorder="1" applyAlignment="1" applyProtection="1">
      <alignment horizontal="center" vertical="center" wrapText="1"/>
    </xf>
    <xf numFmtId="0" fontId="9" fillId="4" borderId="3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2" borderId="15" xfId="0" applyNumberFormat="1" applyFont="1" applyFill="1" applyBorder="1" applyAlignment="1" applyProtection="1">
      <alignment horizontal="center" vertical="center" wrapText="1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4" borderId="26" xfId="0" applyNumberFormat="1" applyFont="1" applyFill="1" applyBorder="1" applyAlignment="1" applyProtection="1">
      <alignment horizontal="center" vertical="center" wrapText="1"/>
    </xf>
    <xf numFmtId="0" fontId="6" fillId="4" borderId="27" xfId="0" applyNumberFormat="1" applyFont="1" applyFill="1" applyBorder="1" applyAlignment="1" applyProtection="1">
      <alignment horizontal="center" vertical="center" wrapText="1"/>
    </xf>
    <xf numFmtId="0" fontId="6" fillId="4" borderId="28" xfId="0" applyNumberFormat="1" applyFont="1" applyFill="1" applyBorder="1" applyAlignment="1" applyProtection="1">
      <alignment horizontal="center" vertical="center" wrapText="1"/>
    </xf>
    <xf numFmtId="0" fontId="9" fillId="4" borderId="16" xfId="0" applyNumberFormat="1" applyFont="1" applyFill="1" applyBorder="1" applyAlignment="1" applyProtection="1">
      <alignment horizontal="center" vertical="center" wrapText="1"/>
    </xf>
    <xf numFmtId="0" fontId="9" fillId="4" borderId="6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12" fillId="2" borderId="11" xfId="0" applyNumberFormat="1" applyFont="1" applyFill="1" applyBorder="1" applyAlignment="1" applyProtection="1">
      <alignment horizontal="center" vertical="center" wrapText="1"/>
    </xf>
    <xf numFmtId="0" fontId="12" fillId="2" borderId="12" xfId="0" applyNumberFormat="1" applyFont="1" applyFill="1" applyBorder="1" applyAlignment="1" applyProtection="1">
      <alignment horizontal="center" vertical="center" wrapText="1"/>
    </xf>
    <xf numFmtId="0" fontId="9" fillId="5" borderId="16" xfId="0" applyNumberFormat="1" applyFont="1" applyFill="1" applyBorder="1" applyAlignment="1" applyProtection="1">
      <alignment horizontal="center" vertical="center" wrapText="1"/>
    </xf>
    <xf numFmtId="0" fontId="9" fillId="5" borderId="6" xfId="0" applyNumberFormat="1" applyFont="1" applyFill="1" applyBorder="1" applyAlignment="1" applyProtection="1">
      <alignment horizontal="center" vertical="center" wrapText="1"/>
    </xf>
    <xf numFmtId="0" fontId="9" fillId="4" borderId="17" xfId="0" applyNumberFormat="1" applyFont="1" applyFill="1" applyBorder="1" applyAlignment="1" applyProtection="1">
      <alignment horizontal="center" vertical="center" wrapText="1"/>
    </xf>
    <xf numFmtId="0" fontId="9" fillId="4" borderId="18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12" fillId="0" borderId="24" xfId="0" applyNumberFormat="1" applyFont="1" applyFill="1" applyBorder="1" applyAlignment="1" applyProtection="1">
      <alignment horizontal="center" vertical="center" wrapText="1"/>
    </xf>
    <xf numFmtId="0" fontId="12" fillId="0" borderId="25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6" fillId="4" borderId="17" xfId="0" applyNumberFormat="1" applyFont="1" applyFill="1" applyBorder="1" applyAlignment="1" applyProtection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8" fillId="4" borderId="30" xfId="0" applyNumberFormat="1" applyFont="1" applyFill="1" applyBorder="1" applyAlignment="1" applyProtection="1">
      <alignment horizontal="center" vertical="center" wrapText="1"/>
    </xf>
    <xf numFmtId="0" fontId="8" fillId="4" borderId="31" xfId="0" applyNumberFormat="1" applyFont="1" applyFill="1" applyBorder="1" applyAlignment="1" applyProtection="1">
      <alignment horizontal="center" vertical="center" wrapText="1"/>
    </xf>
  </cellXfs>
  <cellStyles count="3">
    <cellStyle name="Normalno" xfId="0" builtinId="0"/>
    <cellStyle name="Obično_List4" xfId="1" xr:uid="{DD7D4A6A-BF0F-4AF3-ACB3-078DFA6BEE26}"/>
    <cellStyle name="Obično_List5" xfId="2" xr:uid="{28F9B4DF-1542-42C7-A5B0-A249E45A96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zoomScale="110" zoomScaleNormal="110" workbookViewId="0">
      <selection activeCell="A3" sqref="A3:H3"/>
    </sheetView>
  </sheetViews>
  <sheetFormatPr defaultRowHeight="15" x14ac:dyDescent="0.25"/>
  <cols>
    <col min="5" max="7" width="25.28515625" customWidth="1"/>
    <col min="8" max="8" width="23" customWidth="1"/>
  </cols>
  <sheetData>
    <row r="1" spans="1:8" ht="42" customHeight="1" x14ac:dyDescent="0.25">
      <c r="A1" s="260" t="s">
        <v>174</v>
      </c>
      <c r="B1" s="260"/>
      <c r="C1" s="260"/>
      <c r="D1" s="260"/>
      <c r="E1" s="260"/>
      <c r="F1" s="260"/>
      <c r="G1" s="260"/>
      <c r="H1" s="260"/>
    </row>
    <row r="2" spans="1:8" ht="18" customHeight="1" x14ac:dyDescent="0.25">
      <c r="A2" s="21"/>
      <c r="B2" s="21"/>
      <c r="C2" s="21"/>
      <c r="D2" s="21"/>
      <c r="E2" s="21"/>
      <c r="F2" s="21"/>
      <c r="G2" s="21"/>
      <c r="H2" s="21"/>
    </row>
    <row r="3" spans="1:8" ht="15.75" x14ac:dyDescent="0.25">
      <c r="A3" s="260" t="s">
        <v>16</v>
      </c>
      <c r="B3" s="260"/>
      <c r="C3" s="260"/>
      <c r="D3" s="260"/>
      <c r="E3" s="260"/>
      <c r="F3" s="260"/>
      <c r="G3" s="260"/>
      <c r="H3" s="260"/>
    </row>
    <row r="4" spans="1:8" ht="18" x14ac:dyDescent="0.25">
      <c r="A4" s="21"/>
      <c r="B4" s="21"/>
      <c r="C4" s="21"/>
      <c r="D4" s="21"/>
      <c r="E4" s="21"/>
      <c r="F4" s="21"/>
      <c r="G4" s="21"/>
      <c r="H4" s="21"/>
    </row>
    <row r="5" spans="1:8" ht="15.75" x14ac:dyDescent="0.25">
      <c r="A5" s="260" t="s">
        <v>22</v>
      </c>
      <c r="B5" s="261"/>
      <c r="C5" s="261"/>
      <c r="D5" s="261"/>
      <c r="E5" s="261"/>
      <c r="F5" s="261"/>
      <c r="G5" s="261"/>
      <c r="H5" s="261"/>
    </row>
    <row r="6" spans="1:8" ht="18" x14ac:dyDescent="0.25">
      <c r="A6" s="1"/>
      <c r="B6" s="2"/>
      <c r="C6" s="2"/>
      <c r="D6" s="2"/>
      <c r="E6" s="5"/>
      <c r="F6" s="6"/>
      <c r="G6" s="6"/>
      <c r="H6" s="6"/>
    </row>
    <row r="7" spans="1:8" ht="18.75" customHeight="1" x14ac:dyDescent="0.25">
      <c r="A7" s="24"/>
      <c r="B7" s="25"/>
      <c r="C7" s="25"/>
      <c r="D7" s="26"/>
      <c r="E7" s="27"/>
      <c r="F7" s="3" t="s">
        <v>109</v>
      </c>
      <c r="G7" s="3" t="s">
        <v>110</v>
      </c>
      <c r="H7" s="3" t="s">
        <v>136</v>
      </c>
    </row>
    <row r="8" spans="1:8" x14ac:dyDescent="0.25">
      <c r="A8" s="251" t="s">
        <v>0</v>
      </c>
      <c r="B8" s="250"/>
      <c r="C8" s="250"/>
      <c r="D8" s="250"/>
      <c r="E8" s="264"/>
      <c r="F8" s="93">
        <f>F9+F10</f>
        <v>1124579.74</v>
      </c>
      <c r="G8" s="75">
        <f>G9+G10</f>
        <v>961050</v>
      </c>
      <c r="H8" s="75">
        <f>H9+H10</f>
        <v>1343845.5311099999</v>
      </c>
    </row>
    <row r="9" spans="1:8" x14ac:dyDescent="0.25">
      <c r="A9" s="265" t="s">
        <v>27</v>
      </c>
      <c r="B9" s="266"/>
      <c r="C9" s="266"/>
      <c r="D9" s="266"/>
      <c r="E9" s="263"/>
      <c r="F9" s="94">
        <v>1124579.74</v>
      </c>
      <c r="G9" s="113">
        <v>961050</v>
      </c>
      <c r="H9" s="113">
        <f>' Račun prihoda i rashoda'!F9</f>
        <v>1343845.5311099999</v>
      </c>
    </row>
    <row r="10" spans="1:8" x14ac:dyDescent="0.25">
      <c r="A10" s="267" t="s">
        <v>28</v>
      </c>
      <c r="B10" s="263"/>
      <c r="C10" s="263"/>
      <c r="D10" s="263"/>
      <c r="E10" s="263"/>
      <c r="F10" s="74"/>
      <c r="G10" s="113"/>
      <c r="H10" s="113"/>
    </row>
    <row r="11" spans="1:8" x14ac:dyDescent="0.25">
      <c r="A11" s="29" t="s">
        <v>1</v>
      </c>
      <c r="B11" s="37"/>
      <c r="C11" s="37"/>
      <c r="D11" s="37"/>
      <c r="E11" s="37"/>
      <c r="F11" s="93">
        <f>F12+F13</f>
        <v>1129264.24</v>
      </c>
      <c r="G11" s="75">
        <f>G12+G13</f>
        <v>961050</v>
      </c>
      <c r="H11" s="75">
        <f>H12+H13</f>
        <v>1356089.25</v>
      </c>
    </row>
    <row r="12" spans="1:8" x14ac:dyDescent="0.25">
      <c r="A12" s="268" t="s">
        <v>29</v>
      </c>
      <c r="B12" s="266"/>
      <c r="C12" s="266"/>
      <c r="D12" s="266"/>
      <c r="E12" s="266"/>
      <c r="F12" s="94">
        <v>1030717.71</v>
      </c>
      <c r="G12" s="113">
        <v>948400</v>
      </c>
      <c r="H12" s="113">
        <f>' Račun prihoda i rashoda'!F37</f>
        <v>1292234.46</v>
      </c>
    </row>
    <row r="13" spans="1:8" x14ac:dyDescent="0.25">
      <c r="A13" s="262" t="s">
        <v>30</v>
      </c>
      <c r="B13" s="263"/>
      <c r="C13" s="263"/>
      <c r="D13" s="263"/>
      <c r="E13" s="263"/>
      <c r="F13" s="95">
        <v>98546.53</v>
      </c>
      <c r="G13" s="114">
        <v>12650</v>
      </c>
      <c r="H13" s="114">
        <f>' Račun prihoda i rashoda'!F86</f>
        <v>63854.79</v>
      </c>
    </row>
    <row r="14" spans="1:8" x14ac:dyDescent="0.25">
      <c r="A14" s="249" t="s">
        <v>53</v>
      </c>
      <c r="B14" s="250"/>
      <c r="C14" s="250"/>
      <c r="D14" s="250"/>
      <c r="E14" s="250"/>
      <c r="F14" s="93">
        <f>F8-F11</f>
        <v>-4684.5</v>
      </c>
      <c r="G14" s="75">
        <f>G8-G11</f>
        <v>0</v>
      </c>
      <c r="H14" s="75">
        <f>H8-H11</f>
        <v>-12243.718890000135</v>
      </c>
    </row>
    <row r="15" spans="1:8" ht="18" x14ac:dyDescent="0.25">
      <c r="A15" s="21"/>
      <c r="B15" s="20"/>
      <c r="C15" s="20"/>
      <c r="D15" s="20"/>
      <c r="E15" s="20"/>
      <c r="F15" s="20"/>
      <c r="G15" s="20"/>
      <c r="H15" s="20"/>
    </row>
    <row r="16" spans="1:8" ht="15.75" x14ac:dyDescent="0.25">
      <c r="A16" s="260" t="s">
        <v>23</v>
      </c>
      <c r="B16" s="261"/>
      <c r="C16" s="261"/>
      <c r="D16" s="261"/>
      <c r="E16" s="261"/>
      <c r="F16" s="261"/>
      <c r="G16" s="261"/>
      <c r="H16" s="261"/>
    </row>
    <row r="17" spans="1:8" ht="18" x14ac:dyDescent="0.25">
      <c r="A17" s="21"/>
      <c r="B17" s="20"/>
      <c r="C17" s="20"/>
      <c r="D17" s="20"/>
      <c r="E17" s="20"/>
      <c r="F17" s="20"/>
      <c r="G17" s="20"/>
      <c r="H17" s="20"/>
    </row>
    <row r="18" spans="1:8" ht="18.75" customHeight="1" x14ac:dyDescent="0.25">
      <c r="A18" s="24"/>
      <c r="B18" s="25"/>
      <c r="C18" s="25"/>
      <c r="D18" s="26"/>
      <c r="E18" s="27"/>
      <c r="F18" s="3" t="s">
        <v>109</v>
      </c>
      <c r="G18" s="3" t="s">
        <v>110</v>
      </c>
      <c r="H18" s="3" t="s">
        <v>136</v>
      </c>
    </row>
    <row r="19" spans="1:8" x14ac:dyDescent="0.25">
      <c r="A19" s="262" t="s">
        <v>31</v>
      </c>
      <c r="B19" s="263"/>
      <c r="C19" s="263"/>
      <c r="D19" s="263"/>
      <c r="E19" s="263"/>
      <c r="F19" s="38"/>
      <c r="G19" s="38"/>
      <c r="H19" s="38"/>
    </row>
    <row r="20" spans="1:8" x14ac:dyDescent="0.25">
      <c r="A20" s="262" t="s">
        <v>32</v>
      </c>
      <c r="B20" s="263"/>
      <c r="C20" s="263"/>
      <c r="D20" s="263"/>
      <c r="E20" s="263"/>
      <c r="F20" s="38"/>
      <c r="G20" s="38"/>
      <c r="H20" s="38"/>
    </row>
    <row r="21" spans="1:8" x14ac:dyDescent="0.25">
      <c r="A21" s="249" t="s">
        <v>2</v>
      </c>
      <c r="B21" s="250"/>
      <c r="C21" s="250"/>
      <c r="D21" s="250"/>
      <c r="E21" s="250"/>
      <c r="F21" s="96">
        <v>0</v>
      </c>
      <c r="G21" s="28">
        <f t="shared" ref="G21" si="0">G19-G20</f>
        <v>0</v>
      </c>
      <c r="H21" s="28"/>
    </row>
    <row r="22" spans="1:8" x14ac:dyDescent="0.25">
      <c r="A22" s="249" t="s">
        <v>54</v>
      </c>
      <c r="B22" s="250"/>
      <c r="C22" s="250"/>
      <c r="D22" s="250"/>
      <c r="E22" s="250"/>
      <c r="F22" s="96">
        <v>0</v>
      </c>
      <c r="G22" s="28">
        <f t="shared" ref="G22" si="1">G14+G21</f>
        <v>0</v>
      </c>
      <c r="H22" s="28"/>
    </row>
    <row r="23" spans="1:8" ht="18" x14ac:dyDescent="0.25">
      <c r="A23" s="19"/>
      <c r="B23" s="20"/>
      <c r="C23" s="20"/>
      <c r="D23" s="20"/>
      <c r="E23" s="20"/>
      <c r="F23" s="20"/>
      <c r="G23" s="20"/>
      <c r="H23" s="20"/>
    </row>
    <row r="24" spans="1:8" ht="15.75" x14ac:dyDescent="0.25">
      <c r="A24" s="260" t="s">
        <v>55</v>
      </c>
      <c r="B24" s="261"/>
      <c r="C24" s="261"/>
      <c r="D24" s="261"/>
      <c r="E24" s="261"/>
      <c r="F24" s="261"/>
      <c r="G24" s="261"/>
      <c r="H24" s="261"/>
    </row>
    <row r="25" spans="1:8" ht="15.75" x14ac:dyDescent="0.25">
      <c r="A25" s="35"/>
      <c r="B25" s="36"/>
      <c r="C25" s="36"/>
      <c r="D25" s="36"/>
      <c r="E25" s="36"/>
      <c r="F25" s="36"/>
      <c r="G25" s="36"/>
      <c r="H25" s="187"/>
    </row>
    <row r="26" spans="1:8" ht="18.75" customHeight="1" x14ac:dyDescent="0.25">
      <c r="A26" s="24"/>
      <c r="B26" s="25"/>
      <c r="C26" s="25"/>
      <c r="D26" s="26"/>
      <c r="E26" s="27"/>
      <c r="F26" s="3" t="s">
        <v>109</v>
      </c>
      <c r="G26" s="3" t="s">
        <v>110</v>
      </c>
      <c r="H26" s="3" t="s">
        <v>136</v>
      </c>
    </row>
    <row r="27" spans="1:8" ht="15" customHeight="1" x14ac:dyDescent="0.25">
      <c r="A27" s="255" t="s">
        <v>56</v>
      </c>
      <c r="B27" s="256"/>
      <c r="C27" s="256"/>
      <c r="D27" s="256"/>
      <c r="E27" s="257"/>
      <c r="F27" s="115">
        <v>25595.919999999998</v>
      </c>
      <c r="G27" s="115"/>
      <c r="H27" s="115"/>
    </row>
    <row r="28" spans="1:8" ht="15" customHeight="1" x14ac:dyDescent="0.25">
      <c r="A28" s="249" t="s">
        <v>57</v>
      </c>
      <c r="B28" s="250"/>
      <c r="C28" s="250"/>
      <c r="D28" s="250"/>
      <c r="E28" s="250"/>
      <c r="F28" s="116">
        <v>20911.419999999998</v>
      </c>
      <c r="G28" s="116"/>
      <c r="H28" s="116"/>
    </row>
    <row r="29" spans="1:8" ht="45" customHeight="1" x14ac:dyDescent="0.25">
      <c r="A29" s="251" t="s">
        <v>58</v>
      </c>
      <c r="B29" s="252"/>
      <c r="C29" s="252"/>
      <c r="D29" s="252"/>
      <c r="E29" s="253"/>
      <c r="F29" s="64"/>
      <c r="G29" s="40"/>
      <c r="H29" s="40"/>
    </row>
    <row r="30" spans="1:8" ht="15.75" x14ac:dyDescent="0.25">
      <c r="A30" s="41"/>
      <c r="B30" s="42"/>
      <c r="C30" s="42"/>
      <c r="D30" s="42"/>
      <c r="E30" s="42"/>
      <c r="F30" s="42"/>
      <c r="G30" s="42"/>
      <c r="H30" s="42"/>
    </row>
    <row r="31" spans="1:8" ht="15.75" x14ac:dyDescent="0.25">
      <c r="A31" s="254" t="s">
        <v>52</v>
      </c>
      <c r="B31" s="254"/>
      <c r="C31" s="254"/>
      <c r="D31" s="254"/>
      <c r="E31" s="254"/>
      <c r="F31" s="254"/>
      <c r="G31" s="254"/>
      <c r="H31" s="254"/>
    </row>
    <row r="32" spans="1:8" ht="18" x14ac:dyDescent="0.25">
      <c r="A32" s="43"/>
      <c r="B32" s="44"/>
      <c r="C32" s="44"/>
      <c r="D32" s="44"/>
      <c r="E32" s="44"/>
      <c r="F32" s="44"/>
      <c r="G32" s="44"/>
      <c r="H32" s="44"/>
    </row>
    <row r="33" spans="1:8" ht="18.75" customHeight="1" x14ac:dyDescent="0.25">
      <c r="A33" s="45"/>
      <c r="B33" s="46"/>
      <c r="C33" s="46"/>
      <c r="D33" s="47"/>
      <c r="E33" s="48"/>
      <c r="F33" s="49" t="s">
        <v>109</v>
      </c>
      <c r="G33" s="49" t="s">
        <v>110</v>
      </c>
      <c r="H33" s="3" t="s">
        <v>136</v>
      </c>
    </row>
    <row r="34" spans="1:8" x14ac:dyDescent="0.25">
      <c r="A34" s="255" t="s">
        <v>56</v>
      </c>
      <c r="B34" s="256"/>
      <c r="C34" s="256"/>
      <c r="D34" s="256"/>
      <c r="E34" s="257"/>
      <c r="F34" s="39">
        <v>0</v>
      </c>
      <c r="G34" s="39">
        <f>F37</f>
        <v>0</v>
      </c>
      <c r="H34" s="39"/>
    </row>
    <row r="35" spans="1:8" ht="28.5" customHeight="1" x14ac:dyDescent="0.25">
      <c r="A35" s="255" t="s">
        <v>59</v>
      </c>
      <c r="B35" s="256"/>
      <c r="C35" s="256"/>
      <c r="D35" s="256"/>
      <c r="E35" s="257"/>
      <c r="F35" s="39">
        <v>0</v>
      </c>
      <c r="G35" s="39">
        <v>0</v>
      </c>
      <c r="H35" s="39"/>
    </row>
    <row r="36" spans="1:8" x14ac:dyDescent="0.25">
      <c r="A36" s="255" t="s">
        <v>60</v>
      </c>
      <c r="B36" s="258"/>
      <c r="C36" s="258"/>
      <c r="D36" s="258"/>
      <c r="E36" s="259"/>
      <c r="F36" s="39">
        <v>0</v>
      </c>
      <c r="G36" s="39">
        <v>0</v>
      </c>
      <c r="H36" s="39"/>
    </row>
    <row r="37" spans="1:8" ht="15" customHeight="1" x14ac:dyDescent="0.25">
      <c r="A37" s="249" t="s">
        <v>57</v>
      </c>
      <c r="B37" s="250"/>
      <c r="C37" s="250"/>
      <c r="D37" s="250"/>
      <c r="E37" s="250"/>
      <c r="F37" s="40">
        <v>0</v>
      </c>
      <c r="G37" s="40">
        <v>0</v>
      </c>
      <c r="H37" s="40"/>
    </row>
    <row r="38" spans="1:8" ht="17.25" customHeight="1" x14ac:dyDescent="0.25"/>
    <row r="39" spans="1:8" ht="9" customHeight="1" x14ac:dyDescent="0.25"/>
  </sheetData>
  <mergeCells count="23">
    <mergeCell ref="A20:E20"/>
    <mergeCell ref="A1:H1"/>
    <mergeCell ref="A3:H3"/>
    <mergeCell ref="A5:H5"/>
    <mergeCell ref="A8:E8"/>
    <mergeCell ref="A9:E9"/>
    <mergeCell ref="A10:E10"/>
    <mergeCell ref="A12:E12"/>
    <mergeCell ref="A13:E13"/>
    <mergeCell ref="A14:E14"/>
    <mergeCell ref="A16:H16"/>
    <mergeCell ref="A19:E19"/>
    <mergeCell ref="A21:E21"/>
    <mergeCell ref="A22:E22"/>
    <mergeCell ref="A24:H24"/>
    <mergeCell ref="A27:E27"/>
    <mergeCell ref="A28:E28"/>
    <mergeCell ref="A37:E37"/>
    <mergeCell ref="A29:E29"/>
    <mergeCell ref="A31:H31"/>
    <mergeCell ref="A34:E34"/>
    <mergeCell ref="A35:E35"/>
    <mergeCell ref="A36:E3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7"/>
  <sheetViews>
    <sheetView zoomScaleNormal="100" workbookViewId="0">
      <selection sqref="A1:F1"/>
    </sheetView>
  </sheetViews>
  <sheetFormatPr defaultRowHeight="15" x14ac:dyDescent="0.25"/>
  <cols>
    <col min="1" max="1" width="7.5703125" style="57" bestFit="1" customWidth="1"/>
    <col min="2" max="2" width="8.5703125" style="57" bestFit="1" customWidth="1"/>
    <col min="3" max="3" width="55.85546875" style="57" customWidth="1"/>
    <col min="4" max="6" width="14.28515625" style="57" customWidth="1"/>
    <col min="7" max="7" width="11.28515625" bestFit="1" customWidth="1"/>
    <col min="8" max="8" width="9.85546875" bestFit="1" customWidth="1"/>
  </cols>
  <sheetData>
    <row r="1" spans="1:8" ht="42" customHeight="1" x14ac:dyDescent="0.25">
      <c r="A1" s="260" t="s">
        <v>174</v>
      </c>
      <c r="B1" s="260"/>
      <c r="C1" s="260"/>
      <c r="D1" s="260"/>
      <c r="E1" s="260"/>
      <c r="F1" s="260"/>
    </row>
    <row r="2" spans="1:8" ht="18" customHeight="1" x14ac:dyDescent="0.25">
      <c r="A2" s="21"/>
      <c r="B2" s="21"/>
      <c r="C2" s="21"/>
      <c r="D2" s="270"/>
      <c r="E2" s="270"/>
      <c r="F2" s="270"/>
    </row>
    <row r="3" spans="1:8" ht="15.75" customHeight="1" x14ac:dyDescent="0.25">
      <c r="A3" s="260" t="s">
        <v>16</v>
      </c>
      <c r="B3" s="260"/>
      <c r="C3" s="260"/>
      <c r="D3" s="260"/>
      <c r="E3" s="260"/>
      <c r="F3" s="260"/>
    </row>
    <row r="4" spans="1:8" ht="18" x14ac:dyDescent="0.25">
      <c r="A4" s="21"/>
      <c r="B4" s="21"/>
      <c r="C4" s="21"/>
      <c r="D4" s="21"/>
      <c r="E4" s="21"/>
      <c r="F4" s="21"/>
    </row>
    <row r="5" spans="1:8" ht="18" customHeight="1" x14ac:dyDescent="0.25">
      <c r="A5" s="260" t="s">
        <v>4</v>
      </c>
      <c r="B5" s="260"/>
      <c r="C5" s="260"/>
      <c r="D5" s="260"/>
      <c r="E5" s="260"/>
      <c r="F5" s="260"/>
    </row>
    <row r="6" spans="1:8" ht="15.75" customHeight="1" x14ac:dyDescent="0.25">
      <c r="A6" s="260" t="s">
        <v>33</v>
      </c>
      <c r="B6" s="260"/>
      <c r="C6" s="260"/>
      <c r="D6" s="260"/>
      <c r="E6" s="260"/>
      <c r="F6" s="260"/>
    </row>
    <row r="7" spans="1:8" ht="15.75" customHeight="1" thickBot="1" x14ac:dyDescent="0.3">
      <c r="A7" s="68"/>
      <c r="B7" s="68"/>
      <c r="C7" s="68"/>
      <c r="D7" s="68"/>
      <c r="E7" s="68"/>
      <c r="F7" s="185"/>
    </row>
    <row r="8" spans="1:8" s="77" customFormat="1" ht="34.5" customHeight="1" thickBot="1" x14ac:dyDescent="0.3">
      <c r="A8" s="173" t="s">
        <v>5</v>
      </c>
      <c r="B8" s="174" t="s">
        <v>6</v>
      </c>
      <c r="C8" s="174" t="s">
        <v>3</v>
      </c>
      <c r="D8" s="174" t="s">
        <v>109</v>
      </c>
      <c r="E8" s="174" t="s">
        <v>110</v>
      </c>
      <c r="F8" s="174" t="s">
        <v>136</v>
      </c>
    </row>
    <row r="9" spans="1:8" s="77" customFormat="1" x14ac:dyDescent="0.25">
      <c r="A9" s="175"/>
      <c r="B9" s="176"/>
      <c r="C9" s="177" t="s">
        <v>0</v>
      </c>
      <c r="D9" s="178">
        <f>D10</f>
        <v>1124579.74</v>
      </c>
      <c r="E9" s="179">
        <f t="shared" ref="E9:F9" si="0">E10</f>
        <v>961050</v>
      </c>
      <c r="F9" s="179">
        <f t="shared" si="0"/>
        <v>1343845.5311099999</v>
      </c>
      <c r="H9" s="101"/>
    </row>
    <row r="10" spans="1:8" s="77" customFormat="1" ht="15.75" customHeight="1" thickBot="1" x14ac:dyDescent="0.3">
      <c r="A10" s="169">
        <v>6</v>
      </c>
      <c r="B10" s="170"/>
      <c r="C10" s="170" t="s">
        <v>7</v>
      </c>
      <c r="D10" s="171">
        <f>D11+D19+D22+D28+D18</f>
        <v>1124579.74</v>
      </c>
      <c r="E10" s="172">
        <f t="shared" ref="E10:F10" si="1">E11+E19+E22+E28</f>
        <v>961050</v>
      </c>
      <c r="F10" s="172">
        <f t="shared" si="1"/>
        <v>1343845.5311099999</v>
      </c>
    </row>
    <row r="11" spans="1:8" s="77" customFormat="1" ht="25.5" x14ac:dyDescent="0.25">
      <c r="A11" s="162"/>
      <c r="B11" s="152">
        <v>63</v>
      </c>
      <c r="C11" s="166" t="s">
        <v>24</v>
      </c>
      <c r="D11" s="167">
        <f>D12+D15</f>
        <v>934538.53</v>
      </c>
      <c r="E11" s="168">
        <f>E12+E15</f>
        <v>878100</v>
      </c>
      <c r="F11" s="168">
        <f>F12+F15</f>
        <v>1191757.0111100001</v>
      </c>
      <c r="H11" s="101"/>
    </row>
    <row r="12" spans="1:8" s="77" customFormat="1" ht="25.5" customHeight="1" x14ac:dyDescent="0.25">
      <c r="A12" s="52"/>
      <c r="B12" s="14">
        <v>636</v>
      </c>
      <c r="C12" s="14" t="s">
        <v>143</v>
      </c>
      <c r="D12" s="88">
        <f>D13+D14</f>
        <v>902513.43</v>
      </c>
      <c r="E12" s="92">
        <f>E13+E14</f>
        <v>842000</v>
      </c>
      <c r="F12" s="92">
        <f>F13+F14</f>
        <v>1113953.0411100001</v>
      </c>
    </row>
    <row r="13" spans="1:8" s="70" customFormat="1" ht="15" customHeight="1" x14ac:dyDescent="0.25">
      <c r="A13" s="82"/>
      <c r="B13" s="16">
        <v>6361</v>
      </c>
      <c r="C13" s="16" t="s">
        <v>118</v>
      </c>
      <c r="D13" s="80">
        <v>900721.91</v>
      </c>
      <c r="E13" s="189">
        <v>830000</v>
      </c>
      <c r="F13" s="189">
        <f>34391.59+900461.3+20707.95+10760.71+456.81+3905.85+1377.02+1820+14800+9163.5+398.39+10000+88000+2300+168+436.88111+2200+1410+1490+511+489</f>
        <v>1105248.0011100001</v>
      </c>
    </row>
    <row r="14" spans="1:8" s="70" customFormat="1" x14ac:dyDescent="0.25">
      <c r="A14" s="82"/>
      <c r="B14" s="16">
        <v>6362</v>
      </c>
      <c r="C14" s="16" t="s">
        <v>119</v>
      </c>
      <c r="D14" s="80">
        <v>1791.52</v>
      </c>
      <c r="E14" s="189">
        <v>12000</v>
      </c>
      <c r="F14" s="189">
        <f>8705.04</f>
        <v>8705.0400000000009</v>
      </c>
    </row>
    <row r="15" spans="1:8" s="77" customFormat="1" x14ac:dyDescent="0.25">
      <c r="A15" s="52"/>
      <c r="B15" s="10">
        <v>638</v>
      </c>
      <c r="C15" s="51" t="s">
        <v>120</v>
      </c>
      <c r="D15" s="88">
        <f>D16+D17</f>
        <v>32025.1</v>
      </c>
      <c r="E15" s="92">
        <f>E16+E17</f>
        <v>36100</v>
      </c>
      <c r="F15" s="92">
        <f>F16+F17</f>
        <v>77803.97</v>
      </c>
    </row>
    <row r="16" spans="1:8" s="70" customFormat="1" x14ac:dyDescent="0.25">
      <c r="A16" s="82"/>
      <c r="B16" s="11">
        <v>6381</v>
      </c>
      <c r="C16" s="15" t="s">
        <v>121</v>
      </c>
      <c r="D16" s="80">
        <v>32025.1</v>
      </c>
      <c r="E16" s="189">
        <v>36100</v>
      </c>
      <c r="F16" s="189">
        <f>16378.57+28.31+2084.01+22500</f>
        <v>40990.89</v>
      </c>
    </row>
    <row r="17" spans="1:6" s="70" customFormat="1" x14ac:dyDescent="0.25">
      <c r="A17" s="82"/>
      <c r="B17" s="11">
        <v>6382</v>
      </c>
      <c r="C17" s="15" t="s">
        <v>144</v>
      </c>
      <c r="D17" s="80"/>
      <c r="E17" s="189"/>
      <c r="F17" s="189">
        <v>36813.08</v>
      </c>
    </row>
    <row r="18" spans="1:6" s="77" customFormat="1" x14ac:dyDescent="0.25">
      <c r="A18" s="125"/>
      <c r="B18" s="120">
        <v>64</v>
      </c>
      <c r="C18" s="128" t="s">
        <v>111</v>
      </c>
      <c r="D18" s="121">
        <v>17.14</v>
      </c>
      <c r="E18" s="122"/>
      <c r="F18" s="193">
        <v>24.68</v>
      </c>
    </row>
    <row r="19" spans="1:6" s="77" customFormat="1" ht="25.5" x14ac:dyDescent="0.25">
      <c r="A19" s="180"/>
      <c r="B19" s="120">
        <v>65</v>
      </c>
      <c r="C19" s="192" t="s">
        <v>115</v>
      </c>
      <c r="D19" s="118">
        <f t="shared" ref="D19:F20" si="2">D20</f>
        <v>34177.26</v>
      </c>
      <c r="E19" s="119">
        <f t="shared" si="2"/>
        <v>25650</v>
      </c>
      <c r="F19" s="119">
        <f t="shared" si="2"/>
        <v>33799.949999999997</v>
      </c>
    </row>
    <row r="20" spans="1:6" s="77" customFormat="1" x14ac:dyDescent="0.25">
      <c r="A20" s="53"/>
      <c r="B20" s="10">
        <v>652</v>
      </c>
      <c r="C20" s="56" t="s">
        <v>122</v>
      </c>
      <c r="D20" s="88">
        <f t="shared" si="2"/>
        <v>34177.26</v>
      </c>
      <c r="E20" s="92">
        <f t="shared" si="2"/>
        <v>25650</v>
      </c>
      <c r="F20" s="92">
        <f t="shared" si="2"/>
        <v>33799.949999999997</v>
      </c>
    </row>
    <row r="21" spans="1:6" s="70" customFormat="1" x14ac:dyDescent="0.25">
      <c r="A21" s="79"/>
      <c r="B21" s="11">
        <v>6526</v>
      </c>
      <c r="C21" s="50" t="s">
        <v>106</v>
      </c>
      <c r="D21" s="80">
        <v>34177.26</v>
      </c>
      <c r="E21" s="189">
        <v>25650</v>
      </c>
      <c r="F21" s="189">
        <f>1955+10612+8605.5+892+4623.45+579+681+192+160+500+1490+1410+600+1500</f>
        <v>33799.949999999997</v>
      </c>
    </row>
    <row r="22" spans="1:6" s="77" customFormat="1" ht="25.5" x14ac:dyDescent="0.25">
      <c r="A22" s="180"/>
      <c r="B22" s="120">
        <v>66</v>
      </c>
      <c r="C22" s="192" t="s">
        <v>145</v>
      </c>
      <c r="D22" s="118">
        <f>D23+D26</f>
        <v>8501.52</v>
      </c>
      <c r="E22" s="119">
        <f>E23+E26</f>
        <v>4000</v>
      </c>
      <c r="F22" s="119">
        <f>F23+F26</f>
        <v>11356.14</v>
      </c>
    </row>
    <row r="23" spans="1:6" s="77" customFormat="1" x14ac:dyDescent="0.25">
      <c r="A23" s="53"/>
      <c r="B23" s="10">
        <v>661</v>
      </c>
      <c r="C23" s="56" t="s">
        <v>146</v>
      </c>
      <c r="D23" s="88">
        <f>D25</f>
        <v>4054.18</v>
      </c>
      <c r="E23" s="92">
        <f>E24+E25</f>
        <v>2500</v>
      </c>
      <c r="F23" s="92">
        <f>F24+F25</f>
        <v>5065.6499999999996</v>
      </c>
    </row>
    <row r="24" spans="1:6" s="70" customFormat="1" x14ac:dyDescent="0.25">
      <c r="A24" s="79"/>
      <c r="B24" s="11">
        <v>6614</v>
      </c>
      <c r="C24" s="50" t="s">
        <v>147</v>
      </c>
      <c r="D24" s="80"/>
      <c r="E24" s="189"/>
      <c r="F24" s="189">
        <v>550.65</v>
      </c>
    </row>
    <row r="25" spans="1:6" s="70" customFormat="1" x14ac:dyDescent="0.25">
      <c r="A25" s="79"/>
      <c r="B25" s="11">
        <v>6615</v>
      </c>
      <c r="C25" s="50" t="s">
        <v>123</v>
      </c>
      <c r="D25" s="80">
        <v>4054.18</v>
      </c>
      <c r="E25" s="189">
        <v>2500</v>
      </c>
      <c r="F25" s="189">
        <f>3170+445+900</f>
        <v>4515</v>
      </c>
    </row>
    <row r="26" spans="1:6" s="77" customFormat="1" ht="25.5" x14ac:dyDescent="0.25">
      <c r="A26" s="53"/>
      <c r="B26" s="10">
        <v>663</v>
      </c>
      <c r="C26" s="56" t="s">
        <v>148</v>
      </c>
      <c r="D26" s="88">
        <f>D27</f>
        <v>4447.34</v>
      </c>
      <c r="E26" s="92">
        <f>E27</f>
        <v>1500</v>
      </c>
      <c r="F26" s="92">
        <f>F27</f>
        <v>6290.49</v>
      </c>
    </row>
    <row r="27" spans="1:6" s="70" customFormat="1" x14ac:dyDescent="0.25">
      <c r="A27" s="79"/>
      <c r="B27" s="11">
        <v>6631</v>
      </c>
      <c r="C27" s="50" t="s">
        <v>107</v>
      </c>
      <c r="D27" s="80">
        <v>4447.34</v>
      </c>
      <c r="E27" s="189">
        <v>1500</v>
      </c>
      <c r="F27" s="189">
        <f>1490.49+600+3000+1200</f>
        <v>6290.49</v>
      </c>
    </row>
    <row r="28" spans="1:6" s="77" customFormat="1" ht="25.5" x14ac:dyDescent="0.25">
      <c r="A28" s="180"/>
      <c r="B28" s="120">
        <v>67</v>
      </c>
      <c r="C28" s="117" t="s">
        <v>25</v>
      </c>
      <c r="D28" s="118">
        <f t="shared" ref="D28" si="3">D29</f>
        <v>147345.29</v>
      </c>
      <c r="E28" s="119">
        <f>E29</f>
        <v>53300</v>
      </c>
      <c r="F28" s="119">
        <f>F29</f>
        <v>106932.43</v>
      </c>
    </row>
    <row r="29" spans="1:6" s="77" customFormat="1" ht="25.5" x14ac:dyDescent="0.25">
      <c r="A29" s="53"/>
      <c r="B29" s="10">
        <v>671</v>
      </c>
      <c r="C29" s="91" t="s">
        <v>149</v>
      </c>
      <c r="D29" s="88">
        <f>D30+D31</f>
        <v>147345.29</v>
      </c>
      <c r="E29" s="92">
        <f>E30+E31</f>
        <v>53300</v>
      </c>
      <c r="F29" s="92">
        <f>F30+F31</f>
        <v>106932.43</v>
      </c>
    </row>
    <row r="30" spans="1:6" s="70" customFormat="1" ht="25.5" x14ac:dyDescent="0.25">
      <c r="A30" s="79"/>
      <c r="B30" s="11">
        <v>6711</v>
      </c>
      <c r="C30" s="16" t="s">
        <v>150</v>
      </c>
      <c r="D30" s="80">
        <v>57100.76</v>
      </c>
      <c r="E30" s="189">
        <v>53300</v>
      </c>
      <c r="F30" s="189">
        <f>2218.74+20765+20242.86+7613+2500+4152+2000+2000+500+1500</f>
        <v>63491.6</v>
      </c>
    </row>
    <row r="31" spans="1:6" s="70" customFormat="1" ht="26.25" thickBot="1" x14ac:dyDescent="0.3">
      <c r="A31" s="163"/>
      <c r="B31" s="164">
        <v>6712</v>
      </c>
      <c r="C31" s="190" t="s">
        <v>151</v>
      </c>
      <c r="D31" s="106">
        <v>90244.53</v>
      </c>
      <c r="E31" s="191"/>
      <c r="F31" s="191">
        <f>34440.83+9000</f>
        <v>43440.83</v>
      </c>
    </row>
    <row r="32" spans="1:6" ht="15" customHeight="1" x14ac:dyDescent="0.25">
      <c r="D32" s="58"/>
      <c r="E32" s="58"/>
      <c r="F32" s="58"/>
    </row>
    <row r="33" spans="1:7" x14ac:dyDescent="0.25">
      <c r="A33" s="260" t="s">
        <v>34</v>
      </c>
      <c r="B33" s="269"/>
      <c r="C33" s="269"/>
      <c r="D33" s="269"/>
      <c r="E33" s="269"/>
      <c r="F33" s="269"/>
    </row>
    <row r="34" spans="1:7" ht="15" customHeight="1" thickBot="1" x14ac:dyDescent="0.3">
      <c r="D34" s="58"/>
      <c r="E34" s="58"/>
      <c r="F34" s="58"/>
    </row>
    <row r="35" spans="1:7" ht="26.25" thickBot="1" x14ac:dyDescent="0.3">
      <c r="A35" s="156" t="s">
        <v>5</v>
      </c>
      <c r="B35" s="157" t="s">
        <v>6</v>
      </c>
      <c r="C35" s="157" t="s">
        <v>8</v>
      </c>
      <c r="D35" s="157" t="s">
        <v>109</v>
      </c>
      <c r="E35" s="157" t="s">
        <v>110</v>
      </c>
      <c r="F35" s="157" t="s">
        <v>136</v>
      </c>
    </row>
    <row r="36" spans="1:7" ht="15.75" thickBot="1" x14ac:dyDescent="0.3">
      <c r="A36" s="158"/>
      <c r="B36" s="159"/>
      <c r="C36" s="160" t="s">
        <v>1</v>
      </c>
      <c r="D36" s="161">
        <f>D37+D86</f>
        <v>1129264.24</v>
      </c>
      <c r="E36" s="161">
        <f>E37+E86</f>
        <v>961250</v>
      </c>
      <c r="F36" s="161">
        <f>F37+F86</f>
        <v>1356089.25</v>
      </c>
      <c r="G36" s="62"/>
    </row>
    <row r="37" spans="1:7" ht="15.75" thickBot="1" x14ac:dyDescent="0.3">
      <c r="A37" s="154">
        <v>3</v>
      </c>
      <c r="B37" s="155"/>
      <c r="C37" s="155" t="s">
        <v>9</v>
      </c>
      <c r="D37" s="150">
        <f>D38+D47+D73+D80</f>
        <v>1030717.7100000001</v>
      </c>
      <c r="E37" s="150">
        <f>E38+E47+E73+E80+E77+E83</f>
        <v>948600</v>
      </c>
      <c r="F37" s="150">
        <f>F38+F47+F73+F80+F77+F83</f>
        <v>1292234.46</v>
      </c>
    </row>
    <row r="38" spans="1:7" x14ac:dyDescent="0.25">
      <c r="A38" s="162"/>
      <c r="B38" s="152">
        <v>31</v>
      </c>
      <c r="C38" s="151" t="s">
        <v>10</v>
      </c>
      <c r="D38" s="153">
        <f t="shared" ref="D38:F38" si="4">SUM(D45+D39+D43)</f>
        <v>868464.35000000009</v>
      </c>
      <c r="E38" s="153">
        <f t="shared" si="4"/>
        <v>814000</v>
      </c>
      <c r="F38" s="153">
        <f t="shared" si="4"/>
        <v>1084899.52</v>
      </c>
    </row>
    <row r="39" spans="1:7" x14ac:dyDescent="0.25">
      <c r="A39" s="52"/>
      <c r="B39" s="14">
        <v>311</v>
      </c>
      <c r="C39" s="14" t="s">
        <v>62</v>
      </c>
      <c r="D39" s="88">
        <f>SUM(D40:D42)</f>
        <v>714568.52</v>
      </c>
      <c r="E39" s="88">
        <f t="shared" ref="E39" si="5">SUM(E40:E42)</f>
        <v>667750</v>
      </c>
      <c r="F39" s="88">
        <f>SUM(F40:F42)</f>
        <v>902902.85</v>
      </c>
    </row>
    <row r="40" spans="1:7" s="70" customFormat="1" x14ac:dyDescent="0.25">
      <c r="A40" s="82"/>
      <c r="B40" s="16">
        <v>3111</v>
      </c>
      <c r="C40" s="16" t="s">
        <v>63</v>
      </c>
      <c r="D40" s="80">
        <v>689341.96</v>
      </c>
      <c r="E40" s="80">
        <f>2100+610000+7200+20000</f>
        <v>639300</v>
      </c>
      <c r="F40" s="80">
        <f>822653.5+33462.77+16600.98</f>
        <v>872717.25</v>
      </c>
    </row>
    <row r="41" spans="1:7" s="70" customFormat="1" x14ac:dyDescent="0.25">
      <c r="A41" s="82"/>
      <c r="B41" s="16">
        <v>3113</v>
      </c>
      <c r="C41" s="16" t="s">
        <v>64</v>
      </c>
      <c r="D41" s="80">
        <v>9351.1299999999992</v>
      </c>
      <c r="E41" s="80">
        <f>10000+730</f>
        <v>10730</v>
      </c>
      <c r="F41" s="80">
        <f>10454.27+360</f>
        <v>10814.27</v>
      </c>
    </row>
    <row r="42" spans="1:7" s="70" customFormat="1" x14ac:dyDescent="0.25">
      <c r="A42" s="82"/>
      <c r="B42" s="16">
        <v>3114</v>
      </c>
      <c r="C42" s="16" t="s">
        <v>65</v>
      </c>
      <c r="D42" s="80">
        <v>15875.43</v>
      </c>
      <c r="E42" s="80">
        <f>120+17000+600</f>
        <v>17720</v>
      </c>
      <c r="F42" s="80">
        <f>6936.79+11867.26+154.7+412.58</f>
        <v>19371.330000000002</v>
      </c>
    </row>
    <row r="43" spans="1:7" x14ac:dyDescent="0.25">
      <c r="A43" s="52"/>
      <c r="B43" s="14">
        <v>312</v>
      </c>
      <c r="C43" s="14" t="s">
        <v>66</v>
      </c>
      <c r="D43" s="88">
        <f t="shared" ref="D43:F43" si="6">SUM(D44)</f>
        <v>37858.42</v>
      </c>
      <c r="E43" s="88">
        <f t="shared" si="6"/>
        <v>40000</v>
      </c>
      <c r="F43" s="88">
        <f t="shared" si="6"/>
        <v>38167.050000000003</v>
      </c>
    </row>
    <row r="44" spans="1:7" s="70" customFormat="1" x14ac:dyDescent="0.25">
      <c r="A44" s="82"/>
      <c r="B44" s="16">
        <v>3121</v>
      </c>
      <c r="C44" s="16" t="s">
        <v>66</v>
      </c>
      <c r="D44" s="80">
        <v>37858.42</v>
      </c>
      <c r="E44" s="80">
        <f>700+30000+700+8600</f>
        <v>40000</v>
      </c>
      <c r="F44" s="80">
        <f>4342.73+17600+1324.32+11100+3800</f>
        <v>38167.050000000003</v>
      </c>
    </row>
    <row r="45" spans="1:7" x14ac:dyDescent="0.25">
      <c r="A45" s="52"/>
      <c r="B45" s="14">
        <v>313</v>
      </c>
      <c r="C45" s="14" t="s">
        <v>67</v>
      </c>
      <c r="D45" s="88">
        <f t="shared" ref="D45:F45" si="7">SUM(D46)</f>
        <v>116037.41</v>
      </c>
      <c r="E45" s="88">
        <f t="shared" si="7"/>
        <v>106250</v>
      </c>
      <c r="F45" s="88">
        <f t="shared" si="7"/>
        <v>143829.62000000002</v>
      </c>
    </row>
    <row r="46" spans="1:7" s="70" customFormat="1" x14ac:dyDescent="0.25">
      <c r="A46" s="82"/>
      <c r="B46" s="16">
        <v>3132</v>
      </c>
      <c r="C46" s="16" t="s">
        <v>152</v>
      </c>
      <c r="D46" s="80">
        <v>116037.41</v>
      </c>
      <c r="E46" s="80">
        <f>600+150+100000+1500+4000</f>
        <v>106250</v>
      </c>
      <c r="F46" s="80">
        <f>5578.84+2808.64+135442.14</f>
        <v>143829.62000000002</v>
      </c>
    </row>
    <row r="47" spans="1:7" x14ac:dyDescent="0.25">
      <c r="A47" s="126"/>
      <c r="B47" s="120">
        <v>32</v>
      </c>
      <c r="C47" s="127" t="s">
        <v>19</v>
      </c>
      <c r="D47" s="121">
        <f t="shared" ref="D47:F47" si="8">D48+D53+D60+D68</f>
        <v>151224.54</v>
      </c>
      <c r="E47" s="121">
        <f t="shared" si="8"/>
        <v>125600</v>
      </c>
      <c r="F47" s="121">
        <f t="shared" si="8"/>
        <v>158341.65</v>
      </c>
      <c r="G47" s="90"/>
    </row>
    <row r="48" spans="1:7" x14ac:dyDescent="0.25">
      <c r="A48" s="53"/>
      <c r="B48" s="10">
        <v>321</v>
      </c>
      <c r="C48" s="10" t="s">
        <v>153</v>
      </c>
      <c r="D48" s="88">
        <f>SUM(D49:D52)</f>
        <v>31176.149999999998</v>
      </c>
      <c r="E48" s="88">
        <f>SUM(E49:E52)</f>
        <v>29800</v>
      </c>
      <c r="F48" s="88">
        <f>SUM(F49:F52)</f>
        <v>30410.09</v>
      </c>
    </row>
    <row r="49" spans="1:6" s="70" customFormat="1" x14ac:dyDescent="0.25">
      <c r="A49" s="79"/>
      <c r="B49" s="11">
        <v>3211</v>
      </c>
      <c r="C49" s="11" t="s">
        <v>77</v>
      </c>
      <c r="D49" s="80">
        <v>3261.74</v>
      </c>
      <c r="E49" s="80">
        <f>3000+1000</f>
        <v>4000</v>
      </c>
      <c r="F49" s="80">
        <f>550.87+690+640+419.1+1375.2</f>
        <v>3675.17</v>
      </c>
    </row>
    <row r="50" spans="1:6" s="70" customFormat="1" x14ac:dyDescent="0.25">
      <c r="A50" s="79"/>
      <c r="B50" s="11">
        <v>3212</v>
      </c>
      <c r="C50" s="11" t="s">
        <v>154</v>
      </c>
      <c r="D50" s="81">
        <v>24012.11</v>
      </c>
      <c r="E50" s="80">
        <f>23000+100+1200</f>
        <v>24300</v>
      </c>
      <c r="F50" s="80">
        <f>688.44+23078.95+961.87</f>
        <v>24729.26</v>
      </c>
    </row>
    <row r="51" spans="1:6" s="70" customFormat="1" x14ac:dyDescent="0.25">
      <c r="A51" s="79"/>
      <c r="B51" s="11">
        <v>3213</v>
      </c>
      <c r="C51" s="11" t="s">
        <v>155</v>
      </c>
      <c r="D51" s="80">
        <v>540</v>
      </c>
      <c r="E51" s="80">
        <v>1000</v>
      </c>
      <c r="F51" s="80">
        <f>715</f>
        <v>715</v>
      </c>
    </row>
    <row r="52" spans="1:6" s="70" customFormat="1" x14ac:dyDescent="0.25">
      <c r="A52" s="79"/>
      <c r="B52" s="11">
        <v>3214</v>
      </c>
      <c r="C52" s="15" t="s">
        <v>124</v>
      </c>
      <c r="D52" s="80">
        <v>3362.3</v>
      </c>
      <c r="E52" s="80">
        <v>500</v>
      </c>
      <c r="F52" s="80">
        <f>1290.66</f>
        <v>1290.6600000000001</v>
      </c>
    </row>
    <row r="53" spans="1:6" x14ac:dyDescent="0.25">
      <c r="A53" s="53"/>
      <c r="B53" s="10">
        <v>322</v>
      </c>
      <c r="C53" s="10" t="s">
        <v>96</v>
      </c>
      <c r="D53" s="88">
        <f>SUM(D54:D59)</f>
        <v>83140.77</v>
      </c>
      <c r="E53" s="88">
        <f>SUM(E54:E59)</f>
        <v>76700</v>
      </c>
      <c r="F53" s="88">
        <f>SUM(F54:F59)</f>
        <v>96227.02</v>
      </c>
    </row>
    <row r="54" spans="1:6" s="70" customFormat="1" x14ac:dyDescent="0.25">
      <c r="A54" s="79"/>
      <c r="B54" s="11">
        <v>3221</v>
      </c>
      <c r="C54" s="11" t="s">
        <v>125</v>
      </c>
      <c r="D54" s="80">
        <v>14728.54</v>
      </c>
      <c r="E54" s="80">
        <v>6000</v>
      </c>
      <c r="F54" s="80">
        <f>538.59+480.48+678.53+161.26+202.48+4104.03+4500+3000+500+9.67</f>
        <v>14175.039999999999</v>
      </c>
    </row>
    <row r="55" spans="1:6" s="70" customFormat="1" x14ac:dyDescent="0.25">
      <c r="A55" s="79"/>
      <c r="B55" s="11">
        <v>3222</v>
      </c>
      <c r="C55" s="11" t="s">
        <v>70</v>
      </c>
      <c r="D55" s="80">
        <v>45098.1</v>
      </c>
      <c r="E55" s="80">
        <f>100+39000+5000+2300+500</f>
        <v>46900</v>
      </c>
      <c r="F55" s="80">
        <f>2500+8800+6700+6300+4400+7500+1500+6500+3000+2000+68.28-0.03</f>
        <v>49268.25</v>
      </c>
    </row>
    <row r="56" spans="1:6" s="70" customFormat="1" x14ac:dyDescent="0.25">
      <c r="A56" s="79"/>
      <c r="B56" s="11">
        <v>3223</v>
      </c>
      <c r="C56" s="15" t="s">
        <v>81</v>
      </c>
      <c r="D56" s="80">
        <v>16379.1</v>
      </c>
      <c r="E56" s="80">
        <v>20000</v>
      </c>
      <c r="F56" s="80">
        <f>6580.39+3933.64+6321.1+8095.35+277.99</f>
        <v>25208.470000000005</v>
      </c>
    </row>
    <row r="57" spans="1:6" s="70" customFormat="1" x14ac:dyDescent="0.25">
      <c r="A57" s="79"/>
      <c r="B57" s="11">
        <v>3224</v>
      </c>
      <c r="C57" s="15" t="s">
        <v>126</v>
      </c>
      <c r="D57" s="80">
        <v>4978.99</v>
      </c>
      <c r="E57" s="80">
        <f>500+1000</f>
        <v>1500</v>
      </c>
      <c r="F57" s="80">
        <f>5500+345.34</f>
        <v>5845.34</v>
      </c>
    </row>
    <row r="58" spans="1:6" s="70" customFormat="1" x14ac:dyDescent="0.25">
      <c r="A58" s="79"/>
      <c r="B58" s="11">
        <v>3225</v>
      </c>
      <c r="C58" s="11" t="s">
        <v>156</v>
      </c>
      <c r="D58" s="80">
        <v>1758.9</v>
      </c>
      <c r="E58" s="80">
        <f>1500+500</f>
        <v>2000</v>
      </c>
      <c r="F58" s="80">
        <v>1274.27</v>
      </c>
    </row>
    <row r="59" spans="1:6" s="70" customFormat="1" x14ac:dyDescent="0.25">
      <c r="A59" s="79"/>
      <c r="B59" s="11">
        <v>3227</v>
      </c>
      <c r="C59" s="15" t="s">
        <v>157</v>
      </c>
      <c r="D59" s="80">
        <v>197.14</v>
      </c>
      <c r="E59" s="80">
        <v>300</v>
      </c>
      <c r="F59" s="80">
        <v>455.65</v>
      </c>
    </row>
    <row r="60" spans="1:6" x14ac:dyDescent="0.25">
      <c r="A60" s="53"/>
      <c r="B60" s="10">
        <v>323</v>
      </c>
      <c r="C60" s="10" t="s">
        <v>72</v>
      </c>
      <c r="D60" s="88">
        <f>SUM(D61:D67)+248.85</f>
        <v>20923.019999999997</v>
      </c>
      <c r="E60" s="88">
        <f>SUM(E61:E67)-7000</f>
        <v>16500</v>
      </c>
      <c r="F60" s="88">
        <f>SUM(F61:F67)</f>
        <v>27190.92</v>
      </c>
    </row>
    <row r="61" spans="1:6" s="70" customFormat="1" x14ac:dyDescent="0.25">
      <c r="A61" s="79"/>
      <c r="B61" s="11">
        <v>3231</v>
      </c>
      <c r="C61" s="15" t="s">
        <v>103</v>
      </c>
      <c r="D61" s="80">
        <v>1642.51</v>
      </c>
      <c r="E61" s="80">
        <v>1800</v>
      </c>
      <c r="F61" s="80">
        <f>1032.03+134.94+80</f>
        <v>1246.97</v>
      </c>
    </row>
    <row r="62" spans="1:6" s="70" customFormat="1" x14ac:dyDescent="0.25">
      <c r="A62" s="79"/>
      <c r="B62" s="11">
        <v>3232</v>
      </c>
      <c r="C62" s="11" t="s">
        <v>127</v>
      </c>
      <c r="D62" s="80">
        <v>6198.27</v>
      </c>
      <c r="E62" s="80">
        <f>400+3000</f>
        <v>3400</v>
      </c>
      <c r="F62" s="80">
        <f>322+365.38+2748.58</f>
        <v>3435.96</v>
      </c>
    </row>
    <row r="63" spans="1:6" s="70" customFormat="1" x14ac:dyDescent="0.25">
      <c r="A63" s="79"/>
      <c r="B63" s="11">
        <v>3234</v>
      </c>
      <c r="C63" s="11" t="s">
        <v>73</v>
      </c>
      <c r="D63" s="80">
        <v>5680.76</v>
      </c>
      <c r="E63" s="80">
        <f>500+3500</f>
        <v>4000</v>
      </c>
      <c r="F63" s="80">
        <f>2096.51+969.62+250+428.52+718.75+1073.11</f>
        <v>5536.5099999999993</v>
      </c>
    </row>
    <row r="64" spans="1:6" s="70" customFormat="1" x14ac:dyDescent="0.25">
      <c r="A64" s="79"/>
      <c r="B64" s="11">
        <v>3236</v>
      </c>
      <c r="C64" s="11" t="s">
        <v>100</v>
      </c>
      <c r="D64" s="80">
        <v>3437.6</v>
      </c>
      <c r="E64" s="80">
        <v>2500</v>
      </c>
      <c r="F64" s="80">
        <f>2785.7+351.87</f>
        <v>3137.5699999999997</v>
      </c>
    </row>
    <row r="65" spans="1:6" s="70" customFormat="1" x14ac:dyDescent="0.25">
      <c r="A65" s="79"/>
      <c r="B65" s="11">
        <v>3237</v>
      </c>
      <c r="C65" s="11" t="s">
        <v>82</v>
      </c>
      <c r="D65" s="80">
        <v>1419.1</v>
      </c>
      <c r="E65" s="80">
        <v>300</v>
      </c>
      <c r="F65" s="80">
        <v>1914.09</v>
      </c>
    </row>
    <row r="66" spans="1:6" s="70" customFormat="1" x14ac:dyDescent="0.25">
      <c r="A66" s="79"/>
      <c r="B66" s="11">
        <v>3238</v>
      </c>
      <c r="C66" s="11" t="s">
        <v>83</v>
      </c>
      <c r="D66" s="80">
        <v>956.73</v>
      </c>
      <c r="E66" s="80">
        <v>1000</v>
      </c>
      <c r="F66" s="80">
        <f>917.5+19.92</f>
        <v>937.42</v>
      </c>
    </row>
    <row r="67" spans="1:6" s="70" customFormat="1" x14ac:dyDescent="0.25">
      <c r="A67" s="79"/>
      <c r="B67" s="11">
        <v>3239</v>
      </c>
      <c r="C67" s="11" t="s">
        <v>74</v>
      </c>
      <c r="D67" s="80">
        <v>1339.2</v>
      </c>
      <c r="E67" s="80">
        <f>2000+1000+500+7000</f>
        <v>10500</v>
      </c>
      <c r="F67" s="80">
        <f>13.4+500+150+6+7658+2655</f>
        <v>10982.4</v>
      </c>
    </row>
    <row r="68" spans="1:6" x14ac:dyDescent="0.25">
      <c r="A68" s="53"/>
      <c r="B68" s="10">
        <v>329</v>
      </c>
      <c r="C68" s="51" t="s">
        <v>128</v>
      </c>
      <c r="D68" s="88">
        <f>SUM(D69:D72)</f>
        <v>15984.6</v>
      </c>
      <c r="E68" s="88">
        <f>SUM(E69:E72)</f>
        <v>2600</v>
      </c>
      <c r="F68" s="88">
        <f>SUM(F69:F72)</f>
        <v>4513.6200000000008</v>
      </c>
    </row>
    <row r="69" spans="1:6" s="70" customFormat="1" ht="25.5" x14ac:dyDescent="0.25">
      <c r="A69" s="79"/>
      <c r="B69" s="11">
        <v>3291</v>
      </c>
      <c r="C69" s="15" t="s">
        <v>158</v>
      </c>
      <c r="D69" s="80">
        <v>389.66</v>
      </c>
      <c r="E69" s="80">
        <v>0</v>
      </c>
      <c r="F69" s="80">
        <v>160.04</v>
      </c>
    </row>
    <row r="70" spans="1:6" s="70" customFormat="1" x14ac:dyDescent="0.25">
      <c r="A70" s="79"/>
      <c r="B70" s="11">
        <v>3294</v>
      </c>
      <c r="C70" s="11" t="s">
        <v>159</v>
      </c>
      <c r="D70" s="80">
        <v>163.09</v>
      </c>
      <c r="E70" s="80">
        <v>300</v>
      </c>
      <c r="F70" s="80">
        <v>163.09</v>
      </c>
    </row>
    <row r="71" spans="1:6" s="70" customFormat="1" x14ac:dyDescent="0.25">
      <c r="A71" s="79"/>
      <c r="B71" s="11">
        <v>3295</v>
      </c>
      <c r="C71" s="11" t="s">
        <v>85</v>
      </c>
      <c r="D71" s="80">
        <v>2394.31</v>
      </c>
      <c r="E71" s="80">
        <v>100</v>
      </c>
      <c r="F71" s="80">
        <f>33.18+21.24+1988</f>
        <v>2042.42</v>
      </c>
    </row>
    <row r="72" spans="1:6" s="70" customFormat="1" x14ac:dyDescent="0.25">
      <c r="A72" s="79"/>
      <c r="B72" s="11">
        <v>3299</v>
      </c>
      <c r="C72" s="15" t="s">
        <v>128</v>
      </c>
      <c r="D72" s="80">
        <v>13037.54</v>
      </c>
      <c r="E72" s="80">
        <v>2200</v>
      </c>
      <c r="F72" s="80">
        <f>892+780.23+297.03+178.81</f>
        <v>2148.0700000000002</v>
      </c>
    </row>
    <row r="73" spans="1:6" x14ac:dyDescent="0.25">
      <c r="A73" s="126"/>
      <c r="B73" s="120">
        <v>34</v>
      </c>
      <c r="C73" s="127" t="s">
        <v>61</v>
      </c>
      <c r="D73" s="121">
        <f>SUM(D74)</f>
        <v>938.13</v>
      </c>
      <c r="E73" s="121">
        <f t="shared" ref="E73:F73" si="9">SUM(E74)</f>
        <v>800</v>
      </c>
      <c r="F73" s="121">
        <f t="shared" si="9"/>
        <v>970.68</v>
      </c>
    </row>
    <row r="74" spans="1:6" x14ac:dyDescent="0.25">
      <c r="A74" s="53"/>
      <c r="B74" s="10">
        <v>343</v>
      </c>
      <c r="C74" s="10" t="s">
        <v>87</v>
      </c>
      <c r="D74" s="88">
        <f>D75+D76</f>
        <v>938.13</v>
      </c>
      <c r="E74" s="88">
        <f>E75+E76</f>
        <v>800</v>
      </c>
      <c r="F74" s="88">
        <f>F75+F76</f>
        <v>970.68</v>
      </c>
    </row>
    <row r="75" spans="1:6" s="70" customFormat="1" x14ac:dyDescent="0.25">
      <c r="A75" s="79"/>
      <c r="B75" s="11">
        <v>3431</v>
      </c>
      <c r="C75" s="15" t="s">
        <v>129</v>
      </c>
      <c r="D75" s="80">
        <v>936</v>
      </c>
      <c r="E75" s="80">
        <v>800</v>
      </c>
      <c r="F75" s="80">
        <f>200+770.68</f>
        <v>970.68</v>
      </c>
    </row>
    <row r="76" spans="1:6" s="70" customFormat="1" x14ac:dyDescent="0.25">
      <c r="A76" s="79"/>
      <c r="B76" s="11">
        <v>3433</v>
      </c>
      <c r="C76" s="11" t="s">
        <v>75</v>
      </c>
      <c r="D76" s="80">
        <v>2.13</v>
      </c>
      <c r="E76" s="80">
        <v>0</v>
      </c>
      <c r="F76" s="80">
        <v>0</v>
      </c>
    </row>
    <row r="77" spans="1:6" s="76" customFormat="1" x14ac:dyDescent="0.25">
      <c r="A77" s="126"/>
      <c r="B77" s="120">
        <v>36</v>
      </c>
      <c r="C77" s="196" t="s">
        <v>138</v>
      </c>
      <c r="D77" s="121"/>
      <c r="E77" s="121"/>
      <c r="F77" s="121">
        <f>F78</f>
        <v>36813.08</v>
      </c>
    </row>
    <row r="78" spans="1:6" s="77" customFormat="1" x14ac:dyDescent="0.25">
      <c r="A78" s="53"/>
      <c r="B78" s="100">
        <v>369</v>
      </c>
      <c r="C78" s="195" t="s">
        <v>137</v>
      </c>
      <c r="D78" s="88"/>
      <c r="E78" s="88"/>
      <c r="F78" s="88">
        <f>F79</f>
        <v>36813.08</v>
      </c>
    </row>
    <row r="79" spans="1:6" s="70" customFormat="1" ht="25.5" x14ac:dyDescent="0.25">
      <c r="A79" s="79"/>
      <c r="B79" s="104">
        <v>3693</v>
      </c>
      <c r="C79" s="15" t="s">
        <v>139</v>
      </c>
      <c r="D79" s="80"/>
      <c r="E79" s="80"/>
      <c r="F79" s="80">
        <v>36813.08</v>
      </c>
    </row>
    <row r="80" spans="1:6" ht="25.5" x14ac:dyDescent="0.25">
      <c r="A80" s="126"/>
      <c r="B80" s="120">
        <v>37</v>
      </c>
      <c r="C80" s="128" t="s">
        <v>88</v>
      </c>
      <c r="D80" s="121">
        <f t="shared" ref="D80:F81" si="10">SUM(D81)</f>
        <v>10090.69</v>
      </c>
      <c r="E80" s="121">
        <f t="shared" si="10"/>
        <v>8200</v>
      </c>
      <c r="F80" s="121">
        <f t="shared" si="10"/>
        <v>10751.47</v>
      </c>
    </row>
    <row r="81" spans="1:6" ht="15" customHeight="1" x14ac:dyDescent="0.25">
      <c r="A81" s="53"/>
      <c r="B81" s="10">
        <v>372</v>
      </c>
      <c r="C81" s="56" t="s">
        <v>131</v>
      </c>
      <c r="D81" s="88">
        <f t="shared" si="10"/>
        <v>10090.69</v>
      </c>
      <c r="E81" s="88">
        <f t="shared" si="10"/>
        <v>8200</v>
      </c>
      <c r="F81" s="88">
        <f t="shared" si="10"/>
        <v>10751.47</v>
      </c>
    </row>
    <row r="82" spans="1:6" s="70" customFormat="1" x14ac:dyDescent="0.25">
      <c r="A82" s="79"/>
      <c r="B82" s="11">
        <v>3722</v>
      </c>
      <c r="C82" s="15" t="s">
        <v>160</v>
      </c>
      <c r="D82" s="80">
        <v>10090.69</v>
      </c>
      <c r="E82" s="80">
        <v>8200</v>
      </c>
      <c r="F82" s="80">
        <v>10751.47</v>
      </c>
    </row>
    <row r="83" spans="1:6" s="194" customFormat="1" x14ac:dyDescent="0.25">
      <c r="A83" s="200"/>
      <c r="B83" s="201">
        <v>38</v>
      </c>
      <c r="C83" s="196" t="s">
        <v>140</v>
      </c>
      <c r="D83" s="202"/>
      <c r="E83" s="202"/>
      <c r="F83" s="202">
        <f>F84</f>
        <v>458.06</v>
      </c>
    </row>
    <row r="84" spans="1:6" s="77" customFormat="1" x14ac:dyDescent="0.25">
      <c r="A84" s="197"/>
      <c r="B84" s="198">
        <v>381</v>
      </c>
      <c r="C84" s="195" t="s">
        <v>107</v>
      </c>
      <c r="D84" s="199"/>
      <c r="E84" s="199"/>
      <c r="F84" s="199">
        <f>F85</f>
        <v>458.06</v>
      </c>
    </row>
    <row r="85" spans="1:6" s="70" customFormat="1" ht="15.75" thickBot="1" x14ac:dyDescent="0.3">
      <c r="A85" s="163"/>
      <c r="B85" s="164">
        <v>3812</v>
      </c>
      <c r="C85" s="165" t="s">
        <v>161</v>
      </c>
      <c r="D85" s="106">
        <v>0</v>
      </c>
      <c r="E85" s="106">
        <v>0</v>
      </c>
      <c r="F85" s="106">
        <v>458.06</v>
      </c>
    </row>
    <row r="86" spans="1:6" s="76" customFormat="1" ht="15.75" thickBot="1" x14ac:dyDescent="0.3">
      <c r="A86" s="147">
        <v>4</v>
      </c>
      <c r="B86" s="148"/>
      <c r="C86" s="149" t="s">
        <v>114</v>
      </c>
      <c r="D86" s="150">
        <f>SUM(D87+D93)</f>
        <v>98546.53</v>
      </c>
      <c r="E86" s="150">
        <f>SUM(E87+E93)</f>
        <v>12650</v>
      </c>
      <c r="F86" s="150">
        <f>SUM(F87+F93)</f>
        <v>63854.79</v>
      </c>
    </row>
    <row r="87" spans="1:6" x14ac:dyDescent="0.25">
      <c r="A87" s="143"/>
      <c r="B87" s="144">
        <v>42</v>
      </c>
      <c r="C87" s="145" t="s">
        <v>130</v>
      </c>
      <c r="D87" s="146">
        <f>SUM(D88)+D91</f>
        <v>8302</v>
      </c>
      <c r="E87" s="146">
        <f>E88+E91</f>
        <v>12650</v>
      </c>
      <c r="F87" s="146">
        <f>F88+F91</f>
        <v>21178.1</v>
      </c>
    </row>
    <row r="88" spans="1:6" x14ac:dyDescent="0.25">
      <c r="A88" s="54"/>
      <c r="B88" s="132">
        <v>422</v>
      </c>
      <c r="C88" s="55" t="s">
        <v>78</v>
      </c>
      <c r="D88" s="86">
        <f>SUM(D89:D90)</f>
        <v>4642.6899999999996</v>
      </c>
      <c r="E88" s="86">
        <f>SUM(E89:E90)</f>
        <v>0</v>
      </c>
      <c r="F88" s="86">
        <f>SUM(F89:F90)</f>
        <v>11692.93</v>
      </c>
    </row>
    <row r="89" spans="1:6" s="70" customFormat="1" x14ac:dyDescent="0.25">
      <c r="A89" s="83"/>
      <c r="B89" s="133">
        <v>4221</v>
      </c>
      <c r="C89" s="85" t="s">
        <v>79</v>
      </c>
      <c r="D89" s="87">
        <v>4273.6899999999996</v>
      </c>
      <c r="E89" s="87">
        <v>0</v>
      </c>
      <c r="F89" s="87">
        <f>626+4504.43</f>
        <v>5130.43</v>
      </c>
    </row>
    <row r="90" spans="1:6" s="70" customFormat="1" x14ac:dyDescent="0.25">
      <c r="A90" s="83"/>
      <c r="B90" s="133">
        <v>4227</v>
      </c>
      <c r="C90" s="85" t="s">
        <v>162</v>
      </c>
      <c r="D90" s="87">
        <v>369</v>
      </c>
      <c r="E90" s="87">
        <v>0</v>
      </c>
      <c r="F90" s="87">
        <f>6562.5</f>
        <v>6562.5</v>
      </c>
    </row>
    <row r="91" spans="1:6" x14ac:dyDescent="0.25">
      <c r="A91" s="54"/>
      <c r="B91" s="132">
        <v>424</v>
      </c>
      <c r="C91" s="55" t="s">
        <v>163</v>
      </c>
      <c r="D91" s="86">
        <f>SUM(D92)</f>
        <v>3659.31</v>
      </c>
      <c r="E91" s="86">
        <f t="shared" ref="E91" si="11">SUM(E92)</f>
        <v>12650</v>
      </c>
      <c r="F91" s="86">
        <f>SUM(F92)</f>
        <v>9485.17</v>
      </c>
    </row>
    <row r="92" spans="1:6" s="70" customFormat="1" x14ac:dyDescent="0.25">
      <c r="A92" s="83"/>
      <c r="B92" s="133">
        <v>4241</v>
      </c>
      <c r="C92" s="84" t="s">
        <v>76</v>
      </c>
      <c r="D92" s="87">
        <v>3659.31</v>
      </c>
      <c r="E92" s="87">
        <f>12000+650</f>
        <v>12650</v>
      </c>
      <c r="F92" s="87">
        <f>720+8765.17</f>
        <v>9485.17</v>
      </c>
    </row>
    <row r="93" spans="1:6" x14ac:dyDescent="0.25">
      <c r="A93" s="129"/>
      <c r="B93" s="134">
        <v>45</v>
      </c>
      <c r="C93" s="130" t="s">
        <v>117</v>
      </c>
      <c r="D93" s="131">
        <f>D94</f>
        <v>90244.53</v>
      </c>
      <c r="E93" s="131">
        <f t="shared" ref="E93:F93" si="12">E94</f>
        <v>0</v>
      </c>
      <c r="F93" s="131">
        <f t="shared" si="12"/>
        <v>42676.69</v>
      </c>
    </row>
    <row r="94" spans="1:6" x14ac:dyDescent="0.25">
      <c r="A94" s="138"/>
      <c r="B94" s="135">
        <v>451</v>
      </c>
      <c r="C94" s="136" t="s">
        <v>116</v>
      </c>
      <c r="D94" s="137">
        <f>D95</f>
        <v>90244.53</v>
      </c>
      <c r="E94" s="137">
        <f t="shared" ref="E94:F94" si="13">E95</f>
        <v>0</v>
      </c>
      <c r="F94" s="137">
        <f t="shared" si="13"/>
        <v>42676.69</v>
      </c>
    </row>
    <row r="95" spans="1:6" s="70" customFormat="1" ht="15.75" thickBot="1" x14ac:dyDescent="0.3">
      <c r="A95" s="139"/>
      <c r="B95" s="140">
        <v>4511</v>
      </c>
      <c r="C95" s="141" t="s">
        <v>116</v>
      </c>
      <c r="D95" s="142">
        <v>90244.53</v>
      </c>
      <c r="E95" s="142">
        <v>0</v>
      </c>
      <c r="F95" s="142">
        <v>42676.69</v>
      </c>
    </row>
    <row r="97" spans="4:4" x14ac:dyDescent="0.25">
      <c r="D97" s="61"/>
    </row>
  </sheetData>
  <mergeCells count="6">
    <mergeCell ref="A33:F33"/>
    <mergeCell ref="A1:F1"/>
    <mergeCell ref="A3:F3"/>
    <mergeCell ref="A5:F5"/>
    <mergeCell ref="A6:F6"/>
    <mergeCell ref="D2:F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F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0"/>
  <sheetViews>
    <sheetView zoomScaleNormal="100" workbookViewId="0">
      <selection sqref="A1:D1"/>
    </sheetView>
  </sheetViews>
  <sheetFormatPr defaultRowHeight="15" x14ac:dyDescent="0.25"/>
  <cols>
    <col min="1" max="1" width="50.28515625" customWidth="1"/>
    <col min="2" max="4" width="31.42578125" customWidth="1"/>
  </cols>
  <sheetData>
    <row r="1" spans="1:7" ht="42" customHeight="1" x14ac:dyDescent="0.25">
      <c r="A1" s="260" t="s">
        <v>174</v>
      </c>
      <c r="B1" s="260"/>
      <c r="C1" s="260"/>
      <c r="D1" s="260"/>
    </row>
    <row r="2" spans="1:7" ht="18" customHeight="1" x14ac:dyDescent="0.25">
      <c r="A2" s="21"/>
      <c r="B2" s="21"/>
      <c r="C2" s="270"/>
      <c r="D2" s="270"/>
    </row>
    <row r="3" spans="1:7" ht="15.75" customHeight="1" x14ac:dyDescent="0.25">
      <c r="A3" s="260" t="s">
        <v>16</v>
      </c>
      <c r="B3" s="260"/>
      <c r="C3" s="260"/>
      <c r="D3" s="260"/>
    </row>
    <row r="4" spans="1:7" ht="18" x14ac:dyDescent="0.25">
      <c r="B4" s="21"/>
      <c r="C4" s="21"/>
      <c r="D4" s="21"/>
    </row>
    <row r="5" spans="1:7" ht="18" customHeight="1" x14ac:dyDescent="0.25">
      <c r="A5" s="260" t="s">
        <v>4</v>
      </c>
      <c r="B5" s="260"/>
      <c r="C5" s="260"/>
      <c r="D5" s="260"/>
    </row>
    <row r="6" spans="1:7" ht="18" x14ac:dyDescent="0.25">
      <c r="A6" s="21"/>
      <c r="B6" s="21"/>
      <c r="C6" s="21"/>
      <c r="D6" s="21"/>
    </row>
    <row r="7" spans="1:7" ht="15.75" customHeight="1" x14ac:dyDescent="0.25">
      <c r="A7" s="260" t="s">
        <v>35</v>
      </c>
      <c r="B7" s="260"/>
      <c r="C7" s="260"/>
      <c r="D7" s="260"/>
    </row>
    <row r="8" spans="1:7" ht="18.75" thickBot="1" x14ac:dyDescent="0.3">
      <c r="A8" s="21"/>
      <c r="B8" s="107"/>
      <c r="C8" s="107"/>
      <c r="D8" s="107"/>
    </row>
    <row r="9" spans="1:7" ht="22.5" customHeight="1" x14ac:dyDescent="0.25">
      <c r="A9" s="18" t="s">
        <v>37</v>
      </c>
      <c r="B9" s="110" t="s">
        <v>109</v>
      </c>
      <c r="C9" s="112" t="s">
        <v>110</v>
      </c>
      <c r="D9" s="174" t="s">
        <v>136</v>
      </c>
    </row>
    <row r="10" spans="1:7" x14ac:dyDescent="0.25">
      <c r="A10" s="33" t="s">
        <v>0</v>
      </c>
      <c r="B10" s="66">
        <f>B11+B13+B15+B17+B20+17.14</f>
        <v>1124579.74</v>
      </c>
      <c r="C10" s="98">
        <f>C11+C13+C15+C17+C20</f>
        <v>961050</v>
      </c>
      <c r="D10" s="98">
        <f>D11+D13+D15+D17+D20</f>
        <v>1343845.5311100001</v>
      </c>
      <c r="E10" s="62"/>
      <c r="G10" s="60"/>
    </row>
    <row r="11" spans="1:7" x14ac:dyDescent="0.25">
      <c r="A11" s="22" t="s">
        <v>42</v>
      </c>
      <c r="B11" s="98">
        <f t="shared" ref="B11:D11" si="0">B12</f>
        <v>147345.28999999998</v>
      </c>
      <c r="C11" s="98">
        <f t="shared" si="0"/>
        <v>53300</v>
      </c>
      <c r="D11" s="98">
        <f t="shared" si="0"/>
        <v>106932.43</v>
      </c>
      <c r="F11" s="99"/>
    </row>
    <row r="12" spans="1:7" s="70" customFormat="1" x14ac:dyDescent="0.25">
      <c r="A12" s="11" t="s">
        <v>43</v>
      </c>
      <c r="B12" s="80">
        <f>144072.71+3272.58</f>
        <v>147345.28999999998</v>
      </c>
      <c r="C12" s="80">
        <f>3500+49800</f>
        <v>53300</v>
      </c>
      <c r="D12" s="80">
        <f>' Račun prihoda i rashoda'!F28</f>
        <v>106932.43</v>
      </c>
    </row>
    <row r="13" spans="1:7" x14ac:dyDescent="0.25">
      <c r="A13" s="22" t="s">
        <v>90</v>
      </c>
      <c r="B13" s="97">
        <f t="shared" ref="B13:D13" si="1">B14</f>
        <v>4054.18</v>
      </c>
      <c r="C13" s="97">
        <f t="shared" si="1"/>
        <v>2500</v>
      </c>
      <c r="D13" s="97">
        <f t="shared" si="1"/>
        <v>5065.6499999999996</v>
      </c>
    </row>
    <row r="14" spans="1:7" s="70" customFormat="1" x14ac:dyDescent="0.25">
      <c r="A14" s="217" t="s">
        <v>165</v>
      </c>
      <c r="B14" s="218">
        <v>4054.18</v>
      </c>
      <c r="C14" s="80">
        <v>2500</v>
      </c>
      <c r="D14" s="80">
        <f>' Račun prihoda i rashoda'!F23</f>
        <v>5065.6499999999996</v>
      </c>
    </row>
    <row r="15" spans="1:7" x14ac:dyDescent="0.25">
      <c r="A15" s="9" t="s">
        <v>40</v>
      </c>
      <c r="B15" s="67">
        <f t="shared" ref="B15:D15" si="2">B16</f>
        <v>34177.26</v>
      </c>
      <c r="C15" s="97">
        <f t="shared" si="2"/>
        <v>25650</v>
      </c>
      <c r="D15" s="97">
        <f t="shared" si="2"/>
        <v>33799.949999999997</v>
      </c>
    </row>
    <row r="16" spans="1:7" s="70" customFormat="1" x14ac:dyDescent="0.25">
      <c r="A16" s="15" t="s">
        <v>41</v>
      </c>
      <c r="B16" s="218">
        <v>34177.26</v>
      </c>
      <c r="C16" s="80">
        <v>25650</v>
      </c>
      <c r="D16" s="80">
        <f>' Račun prihoda i rashoda'!F19</f>
        <v>33799.949999999997</v>
      </c>
    </row>
    <row r="17" spans="1:4" x14ac:dyDescent="0.25">
      <c r="A17" s="33" t="s">
        <v>38</v>
      </c>
      <c r="B17" s="67">
        <f t="shared" ref="B17:D17" si="3">B18+B19</f>
        <v>934538.53</v>
      </c>
      <c r="C17" s="97">
        <f t="shared" si="3"/>
        <v>878100</v>
      </c>
      <c r="D17" s="97">
        <f t="shared" si="3"/>
        <v>1191757.0111100001</v>
      </c>
    </row>
    <row r="18" spans="1:4" s="70" customFormat="1" x14ac:dyDescent="0.25">
      <c r="A18" s="11" t="s">
        <v>89</v>
      </c>
      <c r="B18" s="218">
        <v>32327.040000000001</v>
      </c>
      <c r="C18" s="80">
        <v>36100</v>
      </c>
      <c r="D18" s="80">
        <f>' Račun prihoda i rashoda'!F15</f>
        <v>77803.97</v>
      </c>
    </row>
    <row r="19" spans="1:4" s="70" customFormat="1" x14ac:dyDescent="0.25">
      <c r="A19" s="11" t="s">
        <v>39</v>
      </c>
      <c r="B19" s="218">
        <v>902211.49</v>
      </c>
      <c r="C19" s="80">
        <v>842000</v>
      </c>
      <c r="D19" s="80">
        <f>' Račun prihoda i rashoda'!F12</f>
        <v>1113953.0411100001</v>
      </c>
    </row>
    <row r="20" spans="1:4" x14ac:dyDescent="0.25">
      <c r="A20" s="59" t="s">
        <v>108</v>
      </c>
      <c r="B20" s="67">
        <f>B21</f>
        <v>4447.34</v>
      </c>
      <c r="C20" s="67">
        <f>C21</f>
        <v>1500</v>
      </c>
      <c r="D20" s="67">
        <f>D21</f>
        <v>6290.49</v>
      </c>
    </row>
    <row r="21" spans="1:4" s="70" customFormat="1" x14ac:dyDescent="0.25">
      <c r="A21" s="11" t="s">
        <v>164</v>
      </c>
      <c r="B21" s="80">
        <v>4447.34</v>
      </c>
      <c r="C21" s="80">
        <v>1500</v>
      </c>
      <c r="D21" s="80">
        <f>' Račun prihoda i rashoda'!F27</f>
        <v>6290.49</v>
      </c>
    </row>
    <row r="22" spans="1:4" ht="15.75" customHeight="1" x14ac:dyDescent="0.25"/>
    <row r="23" spans="1:4" ht="15.75" x14ac:dyDescent="0.25">
      <c r="A23" s="260" t="s">
        <v>36</v>
      </c>
      <c r="B23" s="260"/>
      <c r="C23" s="260"/>
      <c r="D23" s="260"/>
    </row>
    <row r="24" spans="1:4" ht="18.75" thickBot="1" x14ac:dyDescent="0.3">
      <c r="A24" s="21"/>
      <c r="B24" s="21"/>
      <c r="C24" s="21"/>
      <c r="D24" s="21"/>
    </row>
    <row r="25" spans="1:4" ht="22.5" customHeight="1" x14ac:dyDescent="0.25">
      <c r="A25" s="18" t="s">
        <v>37</v>
      </c>
      <c r="B25" s="110" t="s">
        <v>109</v>
      </c>
      <c r="C25" s="112" t="s">
        <v>110</v>
      </c>
      <c r="D25" s="174" t="s">
        <v>136</v>
      </c>
    </row>
    <row r="26" spans="1:4" ht="15.75" customHeight="1" x14ac:dyDescent="0.25">
      <c r="A26" s="33" t="s">
        <v>1</v>
      </c>
      <c r="B26" s="98">
        <f t="shared" ref="B26:D26" si="4">B27+B29+B31+B33+B36</f>
        <v>1129264.24</v>
      </c>
      <c r="C26" s="98">
        <f t="shared" si="4"/>
        <v>961050</v>
      </c>
      <c r="D26" s="98">
        <f t="shared" si="4"/>
        <v>1356089.25</v>
      </c>
    </row>
    <row r="27" spans="1:4" x14ac:dyDescent="0.25">
      <c r="A27" s="22" t="s">
        <v>42</v>
      </c>
      <c r="B27" s="97">
        <f>B28</f>
        <v>147155.69</v>
      </c>
      <c r="C27" s="97">
        <f>C28</f>
        <v>53300</v>
      </c>
      <c r="D27" s="97">
        <f>D28</f>
        <v>116773.84</v>
      </c>
    </row>
    <row r="28" spans="1:4" s="70" customFormat="1" x14ac:dyDescent="0.25">
      <c r="A28" s="11" t="s">
        <v>43</v>
      </c>
      <c r="B28" s="218">
        <f>8085.46+139070.23</f>
        <v>147155.69</v>
      </c>
      <c r="C28" s="80">
        <f>3500+49800</f>
        <v>53300</v>
      </c>
      <c r="D28" s="80">
        <f>109377.34+5100.06+2296.44</f>
        <v>116773.84</v>
      </c>
    </row>
    <row r="29" spans="1:4" x14ac:dyDescent="0.25">
      <c r="A29" s="22" t="s">
        <v>44</v>
      </c>
      <c r="B29" s="97">
        <f>B30</f>
        <v>12251.44</v>
      </c>
      <c r="C29" s="97">
        <f>C30</f>
        <v>2500</v>
      </c>
      <c r="D29" s="97">
        <f>D30</f>
        <v>4380.0600000000004</v>
      </c>
    </row>
    <row r="30" spans="1:4" s="70" customFormat="1" x14ac:dyDescent="0.25">
      <c r="A30" s="11" t="s">
        <v>45</v>
      </c>
      <c r="B30" s="218">
        <v>12251.44</v>
      </c>
      <c r="C30" s="80">
        <v>2500</v>
      </c>
      <c r="D30" s="80">
        <f>4380.06</f>
        <v>4380.0600000000004</v>
      </c>
    </row>
    <row r="31" spans="1:4" x14ac:dyDescent="0.25">
      <c r="A31" s="9" t="s">
        <v>40</v>
      </c>
      <c r="B31" s="111">
        <f t="shared" ref="B31:D31" si="5">B32</f>
        <v>29294.54</v>
      </c>
      <c r="C31" s="111">
        <f t="shared" si="5"/>
        <v>25650</v>
      </c>
      <c r="D31" s="111">
        <f t="shared" si="5"/>
        <v>66442.850000000006</v>
      </c>
    </row>
    <row r="32" spans="1:4" s="70" customFormat="1" x14ac:dyDescent="0.25">
      <c r="A32" s="15" t="s">
        <v>41</v>
      </c>
      <c r="B32" s="219">
        <v>29294.54</v>
      </c>
      <c r="C32" s="219">
        <v>25650</v>
      </c>
      <c r="D32" s="219">
        <v>66442.850000000006</v>
      </c>
    </row>
    <row r="33" spans="1:4" x14ac:dyDescent="0.25">
      <c r="A33" s="33" t="s">
        <v>38</v>
      </c>
      <c r="B33" s="111">
        <f>B34+B35</f>
        <v>940562.57</v>
      </c>
      <c r="C33" s="111">
        <f>C34+C35</f>
        <v>878100</v>
      </c>
      <c r="D33" s="111">
        <f>D34+D35</f>
        <v>1160430</v>
      </c>
    </row>
    <row r="34" spans="1:4" s="70" customFormat="1" x14ac:dyDescent="0.25">
      <c r="A34" s="11" t="s">
        <v>89</v>
      </c>
      <c r="B34" s="219">
        <v>30878.86</v>
      </c>
      <c r="C34" s="219">
        <v>36100</v>
      </c>
      <c r="D34" s="219">
        <f>32400.54+2000</f>
        <v>34400.54</v>
      </c>
    </row>
    <row r="35" spans="1:4" s="70" customFormat="1" x14ac:dyDescent="0.25">
      <c r="A35" s="11" t="s">
        <v>39</v>
      </c>
      <c r="B35" s="220">
        <v>909683.71</v>
      </c>
      <c r="C35" s="219">
        <v>842000</v>
      </c>
      <c r="D35" s="219">
        <f>1123733.02+2296.44</f>
        <v>1126029.46</v>
      </c>
    </row>
    <row r="36" spans="1:4" x14ac:dyDescent="0.25">
      <c r="A36" s="59" t="s">
        <v>108</v>
      </c>
      <c r="B36" s="111">
        <f>B37</f>
        <v>0</v>
      </c>
      <c r="C36" s="111">
        <f>C37</f>
        <v>1500</v>
      </c>
      <c r="D36" s="111">
        <f>D37</f>
        <v>8062.5</v>
      </c>
    </row>
    <row r="37" spans="1:4" s="70" customFormat="1" x14ac:dyDescent="0.25">
      <c r="A37" s="11" t="s">
        <v>164</v>
      </c>
      <c r="B37" s="219">
        <v>0</v>
      </c>
      <c r="C37" s="219">
        <v>1500</v>
      </c>
      <c r="D37" s="219">
        <v>8062.5</v>
      </c>
    </row>
    <row r="39" spans="1:4" x14ac:dyDescent="0.25">
      <c r="B39" s="60"/>
    </row>
    <row r="40" spans="1:4" x14ac:dyDescent="0.25">
      <c r="B40" s="60"/>
    </row>
  </sheetData>
  <mergeCells count="6">
    <mergeCell ref="A1:D1"/>
    <mergeCell ref="A3:D3"/>
    <mergeCell ref="A5:D5"/>
    <mergeCell ref="A7:D7"/>
    <mergeCell ref="A23:D23"/>
    <mergeCell ref="C2:D2"/>
  </mergeCells>
  <pageMargins left="0.7" right="0.7" top="0.75" bottom="0.75" header="0.3" footer="0.3"/>
  <pageSetup paperSize="9" scale="81" orientation="landscape" r:id="rId1"/>
  <ignoredErrors>
    <ignoredError sqref="B12:D12 B28 D1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4"/>
  <sheetViews>
    <sheetView workbookViewId="0">
      <selection sqref="A1:D1"/>
    </sheetView>
  </sheetViews>
  <sheetFormatPr defaultRowHeight="15" x14ac:dyDescent="0.25"/>
  <cols>
    <col min="1" max="1" width="48.85546875" customWidth="1"/>
    <col min="2" max="4" width="25.28515625" customWidth="1"/>
  </cols>
  <sheetData>
    <row r="1" spans="1:4" ht="42" customHeight="1" x14ac:dyDescent="0.25">
      <c r="A1" s="260" t="s">
        <v>174</v>
      </c>
      <c r="B1" s="260"/>
      <c r="C1" s="260"/>
      <c r="D1" s="260"/>
    </row>
    <row r="2" spans="1:4" ht="18" customHeight="1" x14ac:dyDescent="0.25">
      <c r="A2" s="4"/>
      <c r="B2" s="272"/>
      <c r="C2" s="272"/>
      <c r="D2" s="272"/>
    </row>
    <row r="3" spans="1:4" ht="15.75" x14ac:dyDescent="0.25">
      <c r="A3" s="260" t="s">
        <v>16</v>
      </c>
      <c r="B3" s="260"/>
      <c r="C3" s="260"/>
      <c r="D3" s="260"/>
    </row>
    <row r="4" spans="1:4" ht="18" x14ac:dyDescent="0.25">
      <c r="A4" s="4"/>
      <c r="B4" s="4"/>
      <c r="C4" s="4"/>
      <c r="D4" s="4"/>
    </row>
    <row r="5" spans="1:4" ht="18" customHeight="1" x14ac:dyDescent="0.25">
      <c r="A5" s="260" t="s">
        <v>4</v>
      </c>
      <c r="B5" s="261"/>
      <c r="C5" s="261"/>
      <c r="D5" s="261"/>
    </row>
    <row r="6" spans="1:4" ht="18" x14ac:dyDescent="0.25">
      <c r="A6" s="4"/>
      <c r="B6" s="4"/>
      <c r="C6" s="4"/>
      <c r="D6" s="4"/>
    </row>
    <row r="7" spans="1:4" ht="15.75" x14ac:dyDescent="0.25">
      <c r="A7" s="260" t="s">
        <v>11</v>
      </c>
      <c r="B7" s="271"/>
      <c r="C7" s="271"/>
      <c r="D7" s="271"/>
    </row>
    <row r="8" spans="1:4" ht="18" x14ac:dyDescent="0.25">
      <c r="A8" s="4"/>
      <c r="B8" s="4"/>
      <c r="C8" s="4"/>
      <c r="D8" s="4"/>
    </row>
    <row r="9" spans="1:4" ht="26.25" customHeight="1" x14ac:dyDescent="0.25">
      <c r="A9" s="18" t="s">
        <v>37</v>
      </c>
      <c r="B9" s="110" t="s">
        <v>109</v>
      </c>
      <c r="C9" s="112" t="s">
        <v>110</v>
      </c>
      <c r="D9" s="188" t="s">
        <v>136</v>
      </c>
    </row>
    <row r="10" spans="1:4" ht="15.75" customHeight="1" x14ac:dyDescent="0.25">
      <c r="A10" s="9" t="s">
        <v>12</v>
      </c>
      <c r="B10" s="67">
        <f t="shared" ref="B10:B11" si="0">B11</f>
        <v>1124579.74</v>
      </c>
      <c r="C10" s="67">
        <f>C11</f>
        <v>961050</v>
      </c>
      <c r="D10" s="67">
        <f>D11</f>
        <v>1356089.25</v>
      </c>
    </row>
    <row r="11" spans="1:4" ht="15.75" customHeight="1" x14ac:dyDescent="0.25">
      <c r="A11" s="9" t="s">
        <v>91</v>
      </c>
      <c r="B11" s="65">
        <f t="shared" si="0"/>
        <v>1124579.74</v>
      </c>
      <c r="C11" s="65">
        <f>C12</f>
        <v>961050</v>
      </c>
      <c r="D11" s="65">
        <f>D12</f>
        <v>1356089.25</v>
      </c>
    </row>
    <row r="12" spans="1:4" s="77" customFormat="1" x14ac:dyDescent="0.25">
      <c r="A12" s="51" t="s">
        <v>166</v>
      </c>
      <c r="B12" s="65">
        <f>B13+B14</f>
        <v>1124579.74</v>
      </c>
      <c r="C12" s="65">
        <f>C13+C14</f>
        <v>961050</v>
      </c>
      <c r="D12" s="65">
        <f>D13+D14</f>
        <v>1356089.25</v>
      </c>
    </row>
    <row r="13" spans="1:4" s="70" customFormat="1" x14ac:dyDescent="0.25">
      <c r="A13" s="221" t="s">
        <v>167</v>
      </c>
      <c r="B13" s="218">
        <v>1079481.6399999999</v>
      </c>
      <c r="C13" s="80">
        <v>921050</v>
      </c>
      <c r="D13" s="80">
        <f>' Račun prihoda i rashoda'!F36-D14</f>
        <v>1306821</v>
      </c>
    </row>
    <row r="14" spans="1:4" s="70" customFormat="1" x14ac:dyDescent="0.25">
      <c r="A14" s="221" t="s">
        <v>168</v>
      </c>
      <c r="B14" s="218">
        <v>45098.1</v>
      </c>
      <c r="C14" s="80">
        <v>40000</v>
      </c>
      <c r="D14" s="80">
        <f>' Račun prihoda i rashoda'!F55</f>
        <v>49268.25</v>
      </c>
    </row>
  </sheetData>
  <mergeCells count="5">
    <mergeCell ref="A1:D1"/>
    <mergeCell ref="A3:D3"/>
    <mergeCell ref="A5:D5"/>
    <mergeCell ref="A7:D7"/>
    <mergeCell ref="B2:D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4"/>
  <sheetViews>
    <sheetView workbookViewId="0">
      <selection sqref="A1:F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6" width="25.28515625" customWidth="1"/>
  </cols>
  <sheetData>
    <row r="1" spans="1:6" ht="42" customHeight="1" x14ac:dyDescent="0.25">
      <c r="A1" s="260" t="s">
        <v>174</v>
      </c>
      <c r="B1" s="260"/>
      <c r="C1" s="260"/>
      <c r="D1" s="260"/>
      <c r="E1" s="260"/>
      <c r="F1" s="260"/>
    </row>
    <row r="2" spans="1:6" ht="18" customHeight="1" x14ac:dyDescent="0.25">
      <c r="A2" s="4"/>
      <c r="B2" s="4"/>
      <c r="C2" s="4"/>
      <c r="D2" s="4"/>
      <c r="E2" s="21"/>
    </row>
    <row r="3" spans="1:6" ht="15.75" customHeight="1" x14ac:dyDescent="0.25">
      <c r="A3" s="260" t="s">
        <v>16</v>
      </c>
      <c r="B3" s="260"/>
      <c r="C3" s="260"/>
      <c r="D3" s="260"/>
      <c r="E3" s="260"/>
    </row>
    <row r="4" spans="1:6" ht="18" x14ac:dyDescent="0.25">
      <c r="A4" s="4"/>
      <c r="B4" s="4"/>
      <c r="C4" s="4"/>
      <c r="D4" s="4"/>
      <c r="E4" s="4"/>
    </row>
    <row r="5" spans="1:6" ht="18" customHeight="1" x14ac:dyDescent="0.25">
      <c r="A5" s="260" t="s">
        <v>46</v>
      </c>
      <c r="B5" s="260"/>
      <c r="C5" s="260"/>
      <c r="D5" s="260"/>
      <c r="E5" s="260"/>
    </row>
    <row r="6" spans="1:6" ht="18" x14ac:dyDescent="0.25">
      <c r="A6" s="4"/>
      <c r="B6" s="4"/>
      <c r="C6" s="4"/>
      <c r="D6" s="4"/>
      <c r="E6" s="4"/>
    </row>
    <row r="7" spans="1:6" x14ac:dyDescent="0.25">
      <c r="A7" s="18" t="s">
        <v>5</v>
      </c>
      <c r="B7" s="17" t="s">
        <v>6</v>
      </c>
      <c r="C7" s="17" t="s">
        <v>26</v>
      </c>
      <c r="D7" s="17" t="s">
        <v>109</v>
      </c>
      <c r="E7" s="18" t="s">
        <v>110</v>
      </c>
      <c r="F7" s="18" t="s">
        <v>136</v>
      </c>
    </row>
    <row r="8" spans="1:6" x14ac:dyDescent="0.25">
      <c r="A8" s="31"/>
      <c r="B8" s="32"/>
      <c r="C8" s="30" t="s">
        <v>48</v>
      </c>
      <c r="D8" s="32"/>
      <c r="E8" s="31"/>
      <c r="F8" s="248"/>
    </row>
    <row r="9" spans="1:6" ht="25.5" x14ac:dyDescent="0.25">
      <c r="A9" s="9">
        <v>8</v>
      </c>
      <c r="B9" s="9"/>
      <c r="C9" s="9" t="s">
        <v>13</v>
      </c>
      <c r="D9" s="7"/>
      <c r="E9" s="8"/>
      <c r="F9" s="248"/>
    </row>
    <row r="10" spans="1:6" x14ac:dyDescent="0.25">
      <c r="A10" s="9"/>
      <c r="B10" s="14">
        <v>84</v>
      </c>
      <c r="C10" s="14" t="s">
        <v>20</v>
      </c>
      <c r="D10" s="7"/>
      <c r="E10" s="8"/>
      <c r="F10" s="248"/>
    </row>
    <row r="11" spans="1:6" x14ac:dyDescent="0.25">
      <c r="A11" s="9"/>
      <c r="B11" s="14"/>
      <c r="C11" s="34"/>
      <c r="D11" s="7"/>
      <c r="E11" s="8"/>
      <c r="F11" s="248"/>
    </row>
    <row r="12" spans="1:6" x14ac:dyDescent="0.25">
      <c r="A12" s="9"/>
      <c r="B12" s="14"/>
      <c r="C12" s="30" t="s">
        <v>51</v>
      </c>
      <c r="D12" s="7"/>
      <c r="E12" s="8"/>
      <c r="F12" s="248"/>
    </row>
    <row r="13" spans="1:6" ht="25.5" x14ac:dyDescent="0.25">
      <c r="A13" s="12">
        <v>5</v>
      </c>
      <c r="B13" s="13"/>
      <c r="C13" s="22" t="s">
        <v>14</v>
      </c>
      <c r="D13" s="7"/>
      <c r="E13" s="8"/>
      <c r="F13" s="248"/>
    </row>
    <row r="14" spans="1:6" ht="25.5" x14ac:dyDescent="0.25">
      <c r="A14" s="14"/>
      <c r="B14" s="14">
        <v>54</v>
      </c>
      <c r="C14" s="23" t="s">
        <v>21</v>
      </c>
      <c r="D14" s="7"/>
      <c r="E14" s="8"/>
      <c r="F14" s="248"/>
    </row>
  </sheetData>
  <mergeCells count="3">
    <mergeCell ref="A3:E3"/>
    <mergeCell ref="A5:E5"/>
    <mergeCell ref="A1:F1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16"/>
  <sheetViews>
    <sheetView workbookViewId="0">
      <selection sqref="A1:D1"/>
    </sheetView>
  </sheetViews>
  <sheetFormatPr defaultRowHeight="15" x14ac:dyDescent="0.25"/>
  <cols>
    <col min="1" max="4" width="25.28515625" customWidth="1"/>
  </cols>
  <sheetData>
    <row r="1" spans="1:4" ht="42" customHeight="1" x14ac:dyDescent="0.25">
      <c r="A1" s="260" t="s">
        <v>174</v>
      </c>
      <c r="B1" s="260"/>
      <c r="C1" s="260"/>
      <c r="D1" s="260"/>
    </row>
    <row r="2" spans="1:4" ht="18" customHeight="1" x14ac:dyDescent="0.25">
      <c r="A2" s="21"/>
      <c r="B2" s="21"/>
      <c r="C2" s="21"/>
    </row>
    <row r="3" spans="1:4" ht="15.75" customHeight="1" x14ac:dyDescent="0.25">
      <c r="A3" s="260" t="s">
        <v>16</v>
      </c>
      <c r="B3" s="260"/>
      <c r="C3" s="260"/>
    </row>
    <row r="4" spans="1:4" ht="18" x14ac:dyDescent="0.25">
      <c r="A4" s="21"/>
      <c r="B4" s="21"/>
      <c r="C4" s="21"/>
    </row>
    <row r="5" spans="1:4" ht="18" customHeight="1" x14ac:dyDescent="0.25">
      <c r="A5" s="260" t="s">
        <v>47</v>
      </c>
      <c r="B5" s="260"/>
      <c r="C5" s="260"/>
    </row>
    <row r="6" spans="1:4" ht="18" x14ac:dyDescent="0.25">
      <c r="A6" s="21"/>
      <c r="B6" s="21"/>
      <c r="C6" s="21"/>
    </row>
    <row r="7" spans="1:4" x14ac:dyDescent="0.25">
      <c r="A7" s="17" t="s">
        <v>37</v>
      </c>
      <c r="B7" s="17" t="s">
        <v>109</v>
      </c>
      <c r="C7" s="18" t="s">
        <v>110</v>
      </c>
      <c r="D7" s="18" t="s">
        <v>136</v>
      </c>
    </row>
    <row r="8" spans="1:4" x14ac:dyDescent="0.25">
      <c r="A8" s="9" t="s">
        <v>48</v>
      </c>
      <c r="B8" s="7"/>
      <c r="C8" s="8"/>
      <c r="D8" s="248"/>
    </row>
    <row r="9" spans="1:4" ht="25.5" x14ac:dyDescent="0.25">
      <c r="A9" s="9" t="s">
        <v>49</v>
      </c>
      <c r="B9" s="7"/>
      <c r="C9" s="8"/>
      <c r="D9" s="248"/>
    </row>
    <row r="10" spans="1:4" ht="25.5" x14ac:dyDescent="0.25">
      <c r="A10" s="15" t="s">
        <v>50</v>
      </c>
      <c r="B10" s="7"/>
      <c r="C10" s="8"/>
      <c r="D10" s="248"/>
    </row>
    <row r="11" spans="1:4" x14ac:dyDescent="0.25">
      <c r="A11" s="15"/>
      <c r="B11" s="7"/>
      <c r="C11" s="8"/>
      <c r="D11" s="248"/>
    </row>
    <row r="12" spans="1:4" x14ac:dyDescent="0.25">
      <c r="A12" s="9" t="s">
        <v>51</v>
      </c>
      <c r="B12" s="7"/>
      <c r="C12" s="8"/>
      <c r="D12" s="248"/>
    </row>
    <row r="13" spans="1:4" x14ac:dyDescent="0.25">
      <c r="A13" s="22" t="s">
        <v>42</v>
      </c>
      <c r="B13" s="7"/>
      <c r="C13" s="8"/>
      <c r="D13" s="248"/>
    </row>
    <row r="14" spans="1:4" x14ac:dyDescent="0.25">
      <c r="A14" s="11" t="s">
        <v>43</v>
      </c>
      <c r="B14" s="7"/>
      <c r="C14" s="8"/>
      <c r="D14" s="248"/>
    </row>
    <row r="15" spans="1:4" x14ac:dyDescent="0.25">
      <c r="A15" s="22" t="s">
        <v>44</v>
      </c>
      <c r="B15" s="7"/>
      <c r="C15" s="8"/>
      <c r="D15" s="248"/>
    </row>
    <row r="16" spans="1:4" x14ac:dyDescent="0.25">
      <c r="A16" s="11" t="s">
        <v>45</v>
      </c>
      <c r="B16" s="7"/>
      <c r="C16" s="8"/>
      <c r="D16" s="248"/>
    </row>
  </sheetData>
  <mergeCells count="3">
    <mergeCell ref="A3:C3"/>
    <mergeCell ref="A5:C5"/>
    <mergeCell ref="A1:D1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85"/>
  <sheetViews>
    <sheetView zoomScale="110" zoomScaleNormal="110" workbookViewId="0">
      <selection sqref="A1:G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3.85546875" customWidth="1"/>
    <col min="4" max="4" width="38.85546875" customWidth="1"/>
    <col min="5" max="5" width="14.7109375" bestFit="1" customWidth="1"/>
    <col min="6" max="6" width="17" bestFit="1" customWidth="1"/>
    <col min="7" max="7" width="15" bestFit="1" customWidth="1"/>
    <col min="8" max="8" width="9.85546875" bestFit="1" customWidth="1"/>
    <col min="9" max="9" width="12.5703125" bestFit="1" customWidth="1"/>
  </cols>
  <sheetData>
    <row r="1" spans="1:9" ht="42" customHeight="1" x14ac:dyDescent="0.25">
      <c r="A1" s="254" t="s">
        <v>174</v>
      </c>
      <c r="B1" s="312"/>
      <c r="C1" s="312"/>
      <c r="D1" s="312"/>
      <c r="E1" s="312"/>
      <c r="F1" s="312"/>
      <c r="G1" s="312"/>
    </row>
    <row r="2" spans="1:9" ht="18" x14ac:dyDescent="0.25">
      <c r="A2" s="4"/>
      <c r="B2" s="4"/>
      <c r="C2" s="4"/>
      <c r="D2" s="4"/>
      <c r="E2" s="270"/>
      <c r="F2" s="270"/>
      <c r="G2" s="21"/>
    </row>
    <row r="3" spans="1:9" ht="18" customHeight="1" x14ac:dyDescent="0.25">
      <c r="A3" s="260" t="s">
        <v>15</v>
      </c>
      <c r="B3" s="261"/>
      <c r="C3" s="261"/>
      <c r="D3" s="261"/>
      <c r="E3" s="261"/>
      <c r="F3" s="261"/>
      <c r="G3" s="261"/>
    </row>
    <row r="4" spans="1:9" ht="16.5" customHeight="1" thickBot="1" x14ac:dyDescent="0.3">
      <c r="A4" s="4"/>
      <c r="B4" s="4"/>
      <c r="C4" s="4"/>
      <c r="D4" s="4"/>
      <c r="E4" s="107"/>
      <c r="F4" s="63"/>
      <c r="G4" s="63"/>
      <c r="H4" s="62"/>
    </row>
    <row r="5" spans="1:9" s="77" customFormat="1" ht="26.25" customHeight="1" thickBot="1" x14ac:dyDescent="0.3">
      <c r="A5" s="318" t="s">
        <v>17</v>
      </c>
      <c r="B5" s="319"/>
      <c r="C5" s="319"/>
      <c r="D5" s="157" t="s">
        <v>18</v>
      </c>
      <c r="E5" s="157" t="s">
        <v>109</v>
      </c>
      <c r="F5" s="157" t="s">
        <v>112</v>
      </c>
      <c r="G5" s="157" t="s">
        <v>136</v>
      </c>
      <c r="H5" s="101"/>
    </row>
    <row r="6" spans="1:9" s="77" customFormat="1" ht="15.75" thickBot="1" x14ac:dyDescent="0.3">
      <c r="A6" s="320">
        <v>1</v>
      </c>
      <c r="B6" s="321"/>
      <c r="C6" s="321"/>
      <c r="D6" s="246">
        <v>2</v>
      </c>
      <c r="E6" s="247">
        <v>3</v>
      </c>
      <c r="F6" s="247">
        <v>4</v>
      </c>
      <c r="G6" s="247">
        <v>5</v>
      </c>
      <c r="H6" s="101"/>
    </row>
    <row r="7" spans="1:9" s="77" customFormat="1" ht="15.75" thickBot="1" x14ac:dyDescent="0.3">
      <c r="A7" s="310" t="s">
        <v>92</v>
      </c>
      <c r="B7" s="311"/>
      <c r="C7" s="311"/>
      <c r="D7" s="157" t="s">
        <v>93</v>
      </c>
      <c r="E7" s="232">
        <f>E8+E92+E126+E154-19978.61</f>
        <v>1124579.7399999998</v>
      </c>
      <c r="F7" s="232">
        <f>F8+F92+F126+F154-9000</f>
        <v>961050</v>
      </c>
      <c r="G7" s="232">
        <f>G8+G92+G126+G154+G161</f>
        <v>1356089.2500000002</v>
      </c>
      <c r="H7" s="101"/>
      <c r="I7" s="101"/>
    </row>
    <row r="8" spans="1:9" s="77" customFormat="1" ht="33.75" customHeight="1" thickBot="1" x14ac:dyDescent="0.3">
      <c r="A8" s="299" t="s">
        <v>105</v>
      </c>
      <c r="B8" s="300"/>
      <c r="C8" s="300"/>
      <c r="D8" s="301"/>
      <c r="E8" s="232">
        <f t="shared" ref="E8:G8" si="0">E9+E24+E52+E81</f>
        <v>1042920.22</v>
      </c>
      <c r="F8" s="232">
        <f t="shared" si="0"/>
        <v>880650</v>
      </c>
      <c r="G8" s="232">
        <f t="shared" si="0"/>
        <v>1202618.4300000002</v>
      </c>
      <c r="H8" s="101"/>
    </row>
    <row r="9" spans="1:9" s="77" customFormat="1" ht="18" customHeight="1" thickBot="1" x14ac:dyDescent="0.3">
      <c r="A9" s="310" t="s">
        <v>95</v>
      </c>
      <c r="B9" s="311"/>
      <c r="C9" s="311"/>
      <c r="D9" s="157" t="s">
        <v>69</v>
      </c>
      <c r="E9" s="232">
        <f>E10</f>
        <v>12251.439999999999</v>
      </c>
      <c r="F9" s="236">
        <v>2500</v>
      </c>
      <c r="G9" s="236">
        <f>G10+G20</f>
        <v>4380.0599999999995</v>
      </c>
      <c r="H9" s="101"/>
    </row>
    <row r="10" spans="1:9" s="77" customFormat="1" x14ac:dyDescent="0.25">
      <c r="A10" s="308">
        <v>3</v>
      </c>
      <c r="B10" s="309"/>
      <c r="C10" s="309"/>
      <c r="D10" s="231" t="s">
        <v>9</v>
      </c>
      <c r="E10" s="237">
        <f t="shared" ref="E10:G10" si="1">E11+E17</f>
        <v>12251.439999999999</v>
      </c>
      <c r="F10" s="237">
        <f t="shared" si="1"/>
        <v>2350</v>
      </c>
      <c r="G10" s="237">
        <f t="shared" si="1"/>
        <v>599.63</v>
      </c>
      <c r="H10" s="101"/>
    </row>
    <row r="11" spans="1:9" s="77" customFormat="1" x14ac:dyDescent="0.25">
      <c r="A11" s="280">
        <v>31</v>
      </c>
      <c r="B11" s="281"/>
      <c r="C11" s="281"/>
      <c r="D11" s="211" t="s">
        <v>10</v>
      </c>
      <c r="E11" s="71">
        <f>E12+E15</f>
        <v>925.63</v>
      </c>
      <c r="F11" s="71">
        <f>F12</f>
        <v>850</v>
      </c>
      <c r="G11" s="71">
        <f>G12+G15</f>
        <v>599.63</v>
      </c>
      <c r="H11" s="101"/>
      <c r="I11" s="101"/>
    </row>
    <row r="12" spans="1:9" s="77" customFormat="1" x14ac:dyDescent="0.25">
      <c r="A12" s="292">
        <v>311</v>
      </c>
      <c r="B12" s="293"/>
      <c r="C12" s="294"/>
      <c r="D12" s="214" t="s">
        <v>62</v>
      </c>
      <c r="E12" s="71">
        <f>SUM(E13:E14)</f>
        <v>791.6</v>
      </c>
      <c r="F12" s="71">
        <f>SUM(F13:F14)</f>
        <v>850</v>
      </c>
      <c r="G12" s="71">
        <f>SUM(G13:G14)</f>
        <v>514.70000000000005</v>
      </c>
      <c r="H12" s="101"/>
      <c r="I12" s="101"/>
    </row>
    <row r="13" spans="1:9" s="70" customFormat="1" x14ac:dyDescent="0.25">
      <c r="A13" s="284">
        <v>3113</v>
      </c>
      <c r="B13" s="285"/>
      <c r="C13" s="285"/>
      <c r="D13" s="78" t="s">
        <v>64</v>
      </c>
      <c r="E13" s="207">
        <v>684</v>
      </c>
      <c r="F13" s="207">
        <v>730</v>
      </c>
      <c r="G13" s="207">
        <f>360</f>
        <v>360</v>
      </c>
    </row>
    <row r="14" spans="1:9" s="70" customFormat="1" x14ac:dyDescent="0.25">
      <c r="A14" s="284">
        <v>3114</v>
      </c>
      <c r="B14" s="285"/>
      <c r="C14" s="285"/>
      <c r="D14" s="78" t="s">
        <v>65</v>
      </c>
      <c r="E14" s="207">
        <v>107.6</v>
      </c>
      <c r="F14" s="207">
        <v>120</v>
      </c>
      <c r="G14" s="207">
        <f>154.7</f>
        <v>154.69999999999999</v>
      </c>
      <c r="I14" s="205"/>
    </row>
    <row r="15" spans="1:9" s="77" customFormat="1" x14ac:dyDescent="0.25">
      <c r="A15" s="295">
        <v>313</v>
      </c>
      <c r="B15" s="296"/>
      <c r="C15" s="296"/>
      <c r="D15" s="108" t="s">
        <v>67</v>
      </c>
      <c r="E15" s="222">
        <f t="shared" ref="E15:G15" si="2">SUM(E16)</f>
        <v>134.03</v>
      </c>
      <c r="F15" s="222">
        <f t="shared" si="2"/>
        <v>150</v>
      </c>
      <c r="G15" s="222">
        <f t="shared" si="2"/>
        <v>84.929999999999993</v>
      </c>
      <c r="I15" s="101"/>
    </row>
    <row r="16" spans="1:9" s="70" customFormat="1" ht="15" customHeight="1" x14ac:dyDescent="0.25">
      <c r="A16" s="297">
        <v>3132</v>
      </c>
      <c r="B16" s="298"/>
      <c r="C16" s="298"/>
      <c r="D16" s="186" t="s">
        <v>152</v>
      </c>
      <c r="E16" s="207">
        <v>134.03</v>
      </c>
      <c r="F16" s="207">
        <v>150</v>
      </c>
      <c r="G16" s="207">
        <f>69.07+13.88+1.98</f>
        <v>84.929999999999993</v>
      </c>
      <c r="I16" s="205"/>
    </row>
    <row r="17" spans="1:11" s="77" customFormat="1" x14ac:dyDescent="0.25">
      <c r="A17" s="280">
        <v>32</v>
      </c>
      <c r="B17" s="281"/>
      <c r="C17" s="281"/>
      <c r="D17" s="211" t="s">
        <v>19</v>
      </c>
      <c r="E17" s="71">
        <f t="shared" ref="E17:G18" si="3">E18</f>
        <v>11325.81</v>
      </c>
      <c r="F17" s="71">
        <f t="shared" si="3"/>
        <v>1500</v>
      </c>
      <c r="G17" s="71">
        <f t="shared" si="3"/>
        <v>0</v>
      </c>
      <c r="H17" s="101"/>
      <c r="I17" s="101"/>
      <c r="K17" s="101"/>
    </row>
    <row r="18" spans="1:11" s="77" customFormat="1" x14ac:dyDescent="0.25">
      <c r="A18" s="304">
        <v>322</v>
      </c>
      <c r="B18" s="305"/>
      <c r="C18" s="305"/>
      <c r="D18" s="210" t="s">
        <v>96</v>
      </c>
      <c r="E18" s="222">
        <f t="shared" si="3"/>
        <v>11325.81</v>
      </c>
      <c r="F18" s="222">
        <f t="shared" si="3"/>
        <v>1500</v>
      </c>
      <c r="G18" s="222">
        <f t="shared" si="3"/>
        <v>0</v>
      </c>
    </row>
    <row r="19" spans="1:11" s="70" customFormat="1" x14ac:dyDescent="0.25">
      <c r="A19" s="284">
        <v>3222</v>
      </c>
      <c r="B19" s="285"/>
      <c r="C19" s="285"/>
      <c r="D19" s="78" t="s">
        <v>70</v>
      </c>
      <c r="E19" s="207">
        <v>11325.81</v>
      </c>
      <c r="F19" s="207">
        <v>1500</v>
      </c>
      <c r="G19" s="207">
        <v>0</v>
      </c>
      <c r="I19" s="205"/>
    </row>
    <row r="20" spans="1:11" s="70" customFormat="1" ht="15" customHeight="1" x14ac:dyDescent="0.25">
      <c r="A20" s="278">
        <v>4</v>
      </c>
      <c r="B20" s="279"/>
      <c r="C20" s="279"/>
      <c r="D20" s="209" t="s">
        <v>114</v>
      </c>
      <c r="E20" s="234">
        <f t="shared" ref="E20:G22" si="4">E21</f>
        <v>0</v>
      </c>
      <c r="F20" s="234">
        <f t="shared" si="4"/>
        <v>0</v>
      </c>
      <c r="G20" s="234">
        <f t="shared" si="4"/>
        <v>3780.43</v>
      </c>
      <c r="I20" s="205"/>
    </row>
    <row r="21" spans="1:11" s="77" customFormat="1" ht="25.5" x14ac:dyDescent="0.25">
      <c r="A21" s="280">
        <v>42</v>
      </c>
      <c r="B21" s="281"/>
      <c r="C21" s="281"/>
      <c r="D21" s="211" t="s">
        <v>130</v>
      </c>
      <c r="E21" s="222">
        <f t="shared" si="4"/>
        <v>0</v>
      </c>
      <c r="F21" s="222">
        <f t="shared" si="4"/>
        <v>0</v>
      </c>
      <c r="G21" s="222">
        <f t="shared" si="4"/>
        <v>3780.43</v>
      </c>
    </row>
    <row r="22" spans="1:11" s="77" customFormat="1" x14ac:dyDescent="0.25">
      <c r="A22" s="276">
        <v>422</v>
      </c>
      <c r="B22" s="277"/>
      <c r="C22" s="277"/>
      <c r="D22" s="214" t="s">
        <v>169</v>
      </c>
      <c r="E22" s="222">
        <f t="shared" si="4"/>
        <v>0</v>
      </c>
      <c r="F22" s="222">
        <f t="shared" si="4"/>
        <v>0</v>
      </c>
      <c r="G22" s="222">
        <f t="shared" si="4"/>
        <v>3780.43</v>
      </c>
      <c r="I22" s="101"/>
    </row>
    <row r="23" spans="1:11" s="70" customFormat="1" ht="15.75" thickBot="1" x14ac:dyDescent="0.3">
      <c r="A23" s="282">
        <v>4221</v>
      </c>
      <c r="B23" s="283"/>
      <c r="C23" s="283"/>
      <c r="D23" s="233" t="s">
        <v>79</v>
      </c>
      <c r="E23" s="230">
        <f>0</f>
        <v>0</v>
      </c>
      <c r="F23" s="230">
        <v>0</v>
      </c>
      <c r="G23" s="230">
        <f>3154.43+626</f>
        <v>3780.43</v>
      </c>
      <c r="I23" s="205"/>
    </row>
    <row r="24" spans="1:11" s="77" customFormat="1" ht="18" customHeight="1" thickBot="1" x14ac:dyDescent="0.3">
      <c r="A24" s="310" t="s">
        <v>99</v>
      </c>
      <c r="B24" s="311"/>
      <c r="C24" s="311"/>
      <c r="D24" s="157" t="s">
        <v>113</v>
      </c>
      <c r="E24" s="232">
        <f t="shared" ref="E24:G24" si="5">E25+E48</f>
        <v>990374.21500000008</v>
      </c>
      <c r="F24" s="236">
        <f t="shared" si="5"/>
        <v>851000</v>
      </c>
      <c r="G24" s="236">
        <f t="shared" si="5"/>
        <v>1123733.02</v>
      </c>
      <c r="H24" s="101"/>
    </row>
    <row r="25" spans="1:11" s="77" customFormat="1" x14ac:dyDescent="0.25">
      <c r="A25" s="308">
        <v>3</v>
      </c>
      <c r="B25" s="309"/>
      <c r="C25" s="309"/>
      <c r="D25" s="231" t="s">
        <v>9</v>
      </c>
      <c r="E25" s="237">
        <f>E26+E35+E42</f>
        <v>897340.30500000005</v>
      </c>
      <c r="F25" s="237">
        <f>F26+F35+F42</f>
        <v>839000</v>
      </c>
      <c r="G25" s="237">
        <f>G26+G35+G42+G47</f>
        <v>1114967.8500000001</v>
      </c>
      <c r="H25" s="101"/>
    </row>
    <row r="26" spans="1:11" s="77" customFormat="1" x14ac:dyDescent="0.25">
      <c r="A26" s="280">
        <v>31</v>
      </c>
      <c r="B26" s="281"/>
      <c r="C26" s="281"/>
      <c r="D26" s="211" t="s">
        <v>10</v>
      </c>
      <c r="E26" s="71">
        <f>E27+E31+E33</f>
        <v>822332.9850000001</v>
      </c>
      <c r="F26" s="71">
        <f>F27+F31+F33</f>
        <v>767000</v>
      </c>
      <c r="G26" s="71">
        <f>G27+G31+G33</f>
        <v>1031147.1500000001</v>
      </c>
      <c r="H26" s="101"/>
    </row>
    <row r="27" spans="1:11" s="77" customFormat="1" x14ac:dyDescent="0.25">
      <c r="A27" s="292">
        <v>311</v>
      </c>
      <c r="B27" s="293"/>
      <c r="C27" s="294"/>
      <c r="D27" s="214" t="s">
        <v>62</v>
      </c>
      <c r="E27" s="71">
        <f>SUM(E28:E30)</f>
        <v>678390.56500000006</v>
      </c>
      <c r="F27" s="71">
        <f>SUM(F28:F30)</f>
        <v>637000</v>
      </c>
      <c r="G27" s="71">
        <f>SUM(G28:G30)</f>
        <v>860418.57000000007</v>
      </c>
      <c r="H27" s="101"/>
    </row>
    <row r="28" spans="1:11" s="70" customFormat="1" x14ac:dyDescent="0.25">
      <c r="A28" s="284">
        <v>3111</v>
      </c>
      <c r="B28" s="285"/>
      <c r="C28" s="285"/>
      <c r="D28" s="78" t="s">
        <v>63</v>
      </c>
      <c r="E28" s="207">
        <f>646817.87+(14838.27/2)</f>
        <v>654237.005</v>
      </c>
      <c r="F28" s="207">
        <v>610000</v>
      </c>
      <c r="G28" s="207">
        <f>822653.5+8300.49</f>
        <v>830953.99</v>
      </c>
    </row>
    <row r="29" spans="1:11" s="70" customFormat="1" x14ac:dyDescent="0.25">
      <c r="A29" s="284">
        <v>3113</v>
      </c>
      <c r="B29" s="285"/>
      <c r="C29" s="285"/>
      <c r="D29" s="78" t="s">
        <v>64</v>
      </c>
      <c r="E29" s="207">
        <f>8667.13</f>
        <v>8667.1299999999992</v>
      </c>
      <c r="F29" s="207">
        <v>10000</v>
      </c>
      <c r="G29" s="207">
        <f>10454.27</f>
        <v>10454.27</v>
      </c>
    </row>
    <row r="30" spans="1:11" s="70" customFormat="1" x14ac:dyDescent="0.25">
      <c r="A30" s="284">
        <v>3114</v>
      </c>
      <c r="B30" s="285"/>
      <c r="C30" s="285"/>
      <c r="D30" s="78" t="s">
        <v>65</v>
      </c>
      <c r="E30" s="207">
        <f>4882.77+10322.26+(562.8/2)</f>
        <v>15486.43</v>
      </c>
      <c r="F30" s="207">
        <v>17000</v>
      </c>
      <c r="G30" s="207">
        <f>6936.79+11867.26+206.26</f>
        <v>19010.309999999998</v>
      </c>
    </row>
    <row r="31" spans="1:11" s="77" customFormat="1" x14ac:dyDescent="0.25">
      <c r="A31" s="276">
        <v>312</v>
      </c>
      <c r="B31" s="277"/>
      <c r="C31" s="277"/>
      <c r="D31" s="214" t="s">
        <v>66</v>
      </c>
      <c r="E31" s="222">
        <f>E32</f>
        <v>33608.42</v>
      </c>
      <c r="F31" s="222">
        <f>F32</f>
        <v>30000</v>
      </c>
      <c r="G31" s="222">
        <f>G32</f>
        <v>33967.050000000003</v>
      </c>
    </row>
    <row r="32" spans="1:11" s="70" customFormat="1" x14ac:dyDescent="0.25">
      <c r="A32" s="284">
        <v>3121</v>
      </c>
      <c r="B32" s="285"/>
      <c r="C32" s="285"/>
      <c r="D32" s="109" t="s">
        <v>66</v>
      </c>
      <c r="E32" s="207">
        <f>3096.09+2200+11332.27+150+1327.24+803.75+2102.71+12196.36+300+100</f>
        <v>33608.42</v>
      </c>
      <c r="F32" s="207">
        <v>30000</v>
      </c>
      <c r="G32" s="207">
        <f>4342.73+3700+50+13300+1324.32+11100+150</f>
        <v>33967.050000000003</v>
      </c>
    </row>
    <row r="33" spans="1:8" s="77" customFormat="1" x14ac:dyDescent="0.25">
      <c r="A33" s="276">
        <v>313</v>
      </c>
      <c r="B33" s="277"/>
      <c r="C33" s="277"/>
      <c r="D33" s="214" t="s">
        <v>67</v>
      </c>
      <c r="E33" s="222">
        <f>E34</f>
        <v>110334</v>
      </c>
      <c r="F33" s="222">
        <f>F34</f>
        <v>100000</v>
      </c>
      <c r="G33" s="222">
        <f>G34</f>
        <v>136761.53000000003</v>
      </c>
    </row>
    <row r="34" spans="1:8" s="70" customFormat="1" ht="15" customHeight="1" x14ac:dyDescent="0.25">
      <c r="A34" s="284">
        <v>3132</v>
      </c>
      <c r="B34" s="285"/>
      <c r="C34" s="285"/>
      <c r="D34" s="186" t="s">
        <v>152</v>
      </c>
      <c r="E34" s="207">
        <f>1270.59+109063.41</f>
        <v>110334</v>
      </c>
      <c r="F34" s="207">
        <v>100000</v>
      </c>
      <c r="G34" s="207">
        <f>1404.32+(135442.14-84.93)</f>
        <v>136761.53000000003</v>
      </c>
    </row>
    <row r="35" spans="1:8" s="77" customFormat="1" x14ac:dyDescent="0.25">
      <c r="A35" s="280">
        <v>32</v>
      </c>
      <c r="B35" s="281"/>
      <c r="C35" s="281"/>
      <c r="D35" s="211" t="s">
        <v>19</v>
      </c>
      <c r="E35" s="71">
        <f>E36+E38+E40+(1307.2/2)</f>
        <v>64916.63</v>
      </c>
      <c r="F35" s="71">
        <f>F36+F38+F40</f>
        <v>63000</v>
      </c>
      <c r="G35" s="71">
        <f>G36+G38+G40</f>
        <v>72611.17</v>
      </c>
      <c r="H35" s="101"/>
    </row>
    <row r="36" spans="1:8" s="77" customFormat="1" x14ac:dyDescent="0.25">
      <c r="A36" s="276">
        <v>321</v>
      </c>
      <c r="B36" s="277"/>
      <c r="C36" s="277"/>
      <c r="D36" s="100" t="s">
        <v>153</v>
      </c>
      <c r="E36" s="222">
        <f>SUM(E37)</f>
        <v>22222.54</v>
      </c>
      <c r="F36" s="222">
        <f>SUM(F37)</f>
        <v>23000</v>
      </c>
      <c r="G36" s="222">
        <f>SUM(G37)</f>
        <v>23423.170000000002</v>
      </c>
    </row>
    <row r="37" spans="1:8" s="70" customFormat="1" ht="25.5" x14ac:dyDescent="0.25">
      <c r="A37" s="284">
        <v>3212</v>
      </c>
      <c r="B37" s="285"/>
      <c r="C37" s="285"/>
      <c r="D37" s="224" t="s">
        <v>154</v>
      </c>
      <c r="E37" s="207">
        <f>21858.84+363.7</f>
        <v>22222.54</v>
      </c>
      <c r="F37" s="207">
        <v>23000</v>
      </c>
      <c r="G37" s="207">
        <f>344.22+23078.95</f>
        <v>23423.170000000002</v>
      </c>
    </row>
    <row r="38" spans="1:8" s="77" customFormat="1" x14ac:dyDescent="0.25">
      <c r="A38" s="276">
        <v>322</v>
      </c>
      <c r="B38" s="277"/>
      <c r="C38" s="277"/>
      <c r="D38" s="210" t="s">
        <v>96</v>
      </c>
      <c r="E38" s="222">
        <f>SUM(E39:E39)</f>
        <v>39956.06</v>
      </c>
      <c r="F38" s="222">
        <f>SUM(F39:F39)</f>
        <v>39000</v>
      </c>
      <c r="G38" s="222">
        <f>SUM(G39:G39)</f>
        <v>47200</v>
      </c>
    </row>
    <row r="39" spans="1:8" s="70" customFormat="1" x14ac:dyDescent="0.25">
      <c r="A39" s="284">
        <v>3222</v>
      </c>
      <c r="B39" s="285"/>
      <c r="C39" s="285"/>
      <c r="D39" s="78" t="s">
        <v>70</v>
      </c>
      <c r="E39" s="207">
        <f>2539.84+9942.78+5912.27+6282.59+3571.88+6100.82+757.45+4833.09+15.34</f>
        <v>39956.06</v>
      </c>
      <c r="F39" s="207">
        <v>39000</v>
      </c>
      <c r="G39" s="207">
        <f>2500+8800+6700+6300+4400+7500+1500+6500+3000</f>
        <v>47200</v>
      </c>
    </row>
    <row r="40" spans="1:8" s="77" customFormat="1" x14ac:dyDescent="0.25">
      <c r="A40" s="276">
        <v>329</v>
      </c>
      <c r="B40" s="277"/>
      <c r="C40" s="277"/>
      <c r="D40" s="210" t="s">
        <v>128</v>
      </c>
      <c r="E40" s="222">
        <f>E41</f>
        <v>2084.4299999999998</v>
      </c>
      <c r="F40" s="222">
        <f>F41</f>
        <v>1000</v>
      </c>
      <c r="G40" s="222">
        <f>G41</f>
        <v>1988</v>
      </c>
    </row>
    <row r="41" spans="1:8" s="70" customFormat="1" x14ac:dyDescent="0.25">
      <c r="A41" s="284">
        <v>3295</v>
      </c>
      <c r="B41" s="285"/>
      <c r="C41" s="285"/>
      <c r="D41" s="78" t="s">
        <v>85</v>
      </c>
      <c r="E41" s="207">
        <v>2084.4299999999998</v>
      </c>
      <c r="F41" s="207">
        <v>1000</v>
      </c>
      <c r="G41" s="207">
        <v>1988</v>
      </c>
    </row>
    <row r="42" spans="1:8" s="77" customFormat="1" ht="25.5" x14ac:dyDescent="0.25">
      <c r="A42" s="276">
        <v>37</v>
      </c>
      <c r="B42" s="277"/>
      <c r="C42" s="277"/>
      <c r="D42" s="211" t="s">
        <v>171</v>
      </c>
      <c r="E42" s="226">
        <f>E43</f>
        <v>10090.69</v>
      </c>
      <c r="F42" s="226">
        <f t="shared" ref="F42" si="6">F43</f>
        <v>9000</v>
      </c>
      <c r="G42" s="226">
        <f>G43</f>
        <v>10751.47</v>
      </c>
    </row>
    <row r="43" spans="1:8" s="77" customFormat="1" ht="25.5" x14ac:dyDescent="0.25">
      <c r="A43" s="276">
        <v>372</v>
      </c>
      <c r="B43" s="277"/>
      <c r="C43" s="277"/>
      <c r="D43" s="214" t="s">
        <v>172</v>
      </c>
      <c r="E43" s="226">
        <f>E44+E47</f>
        <v>10090.69</v>
      </c>
      <c r="F43" s="226">
        <f t="shared" ref="F43:G43" si="7">F44</f>
        <v>9000</v>
      </c>
      <c r="G43" s="226">
        <f t="shared" si="7"/>
        <v>10751.47</v>
      </c>
    </row>
    <row r="44" spans="1:8" s="70" customFormat="1" x14ac:dyDescent="0.25">
      <c r="A44" s="284">
        <v>3722</v>
      </c>
      <c r="B44" s="285"/>
      <c r="C44" s="285"/>
      <c r="D44" s="109" t="s">
        <v>160</v>
      </c>
      <c r="E44" s="207">
        <v>9610.6</v>
      </c>
      <c r="F44" s="207">
        <v>9000</v>
      </c>
      <c r="G44" s="207">
        <v>10751.47</v>
      </c>
    </row>
    <row r="45" spans="1:8" s="76" customFormat="1" x14ac:dyDescent="0.25">
      <c r="A45" s="273">
        <v>38</v>
      </c>
      <c r="B45" s="274"/>
      <c r="C45" s="275"/>
      <c r="D45" s="214" t="s">
        <v>173</v>
      </c>
      <c r="E45" s="222">
        <f>E46</f>
        <v>480.09</v>
      </c>
      <c r="F45" s="222">
        <f t="shared" ref="F45:G46" si="8">F46</f>
        <v>500</v>
      </c>
      <c r="G45" s="222">
        <f t="shared" si="8"/>
        <v>458.06</v>
      </c>
    </row>
    <row r="46" spans="1:8" s="77" customFormat="1" x14ac:dyDescent="0.25">
      <c r="A46" s="273">
        <v>381</v>
      </c>
      <c r="B46" s="274"/>
      <c r="C46" s="275"/>
      <c r="D46" s="214" t="s">
        <v>107</v>
      </c>
      <c r="E46" s="222">
        <f>E47</f>
        <v>480.09</v>
      </c>
      <c r="F46" s="222">
        <f t="shared" si="8"/>
        <v>500</v>
      </c>
      <c r="G46" s="222">
        <f t="shared" si="8"/>
        <v>458.06</v>
      </c>
    </row>
    <row r="47" spans="1:8" s="70" customFormat="1" x14ac:dyDescent="0.25">
      <c r="A47" s="315">
        <v>3812</v>
      </c>
      <c r="B47" s="316"/>
      <c r="C47" s="317"/>
      <c r="D47" s="109" t="s">
        <v>161</v>
      </c>
      <c r="E47" s="207">
        <v>480.09</v>
      </c>
      <c r="F47" s="207">
        <v>500</v>
      </c>
      <c r="G47" s="207">
        <v>458.06</v>
      </c>
    </row>
    <row r="48" spans="1:8" s="77" customFormat="1" ht="15" customHeight="1" x14ac:dyDescent="0.25">
      <c r="A48" s="278">
        <v>4</v>
      </c>
      <c r="B48" s="279"/>
      <c r="C48" s="279"/>
      <c r="D48" s="209" t="s">
        <v>114</v>
      </c>
      <c r="E48" s="181">
        <f>E49+90244.53</f>
        <v>93033.91</v>
      </c>
      <c r="F48" s="181">
        <f t="shared" ref="F48:G48" si="9">F49</f>
        <v>12000</v>
      </c>
      <c r="G48" s="181">
        <f t="shared" si="9"/>
        <v>8765.17</v>
      </c>
      <c r="H48" s="101"/>
    </row>
    <row r="49" spans="1:8" s="77" customFormat="1" ht="25.5" x14ac:dyDescent="0.25">
      <c r="A49" s="280">
        <v>42</v>
      </c>
      <c r="B49" s="281"/>
      <c r="C49" s="281"/>
      <c r="D49" s="211" t="s">
        <v>130</v>
      </c>
      <c r="E49" s="71">
        <f t="shared" ref="E49:G50" si="10">E50</f>
        <v>2789.38</v>
      </c>
      <c r="F49" s="71">
        <f t="shared" si="10"/>
        <v>12000</v>
      </c>
      <c r="G49" s="71">
        <f t="shared" si="10"/>
        <v>8765.17</v>
      </c>
      <c r="H49" s="101"/>
    </row>
    <row r="50" spans="1:8" s="77" customFormat="1" ht="25.5" x14ac:dyDescent="0.25">
      <c r="A50" s="276">
        <v>424</v>
      </c>
      <c r="B50" s="277"/>
      <c r="C50" s="277"/>
      <c r="D50" s="214" t="s">
        <v>163</v>
      </c>
      <c r="E50" s="222">
        <f t="shared" si="10"/>
        <v>2789.38</v>
      </c>
      <c r="F50" s="222">
        <f t="shared" si="10"/>
        <v>12000</v>
      </c>
      <c r="G50" s="222">
        <f t="shared" si="10"/>
        <v>8765.17</v>
      </c>
    </row>
    <row r="51" spans="1:8" s="70" customFormat="1" x14ac:dyDescent="0.25">
      <c r="A51" s="284">
        <v>4241</v>
      </c>
      <c r="B51" s="285"/>
      <c r="C51" s="285"/>
      <c r="D51" s="109" t="s">
        <v>76</v>
      </c>
      <c r="E51" s="207">
        <v>2789.38</v>
      </c>
      <c r="F51" s="207">
        <v>12000</v>
      </c>
      <c r="G51" s="207">
        <f>8765.17</f>
        <v>8765.17</v>
      </c>
    </row>
    <row r="52" spans="1:8" s="77" customFormat="1" ht="15" customHeight="1" x14ac:dyDescent="0.25">
      <c r="A52" s="288" t="s">
        <v>101</v>
      </c>
      <c r="B52" s="289"/>
      <c r="C52" s="289"/>
      <c r="D52" s="18" t="s">
        <v>102</v>
      </c>
      <c r="E52" s="182">
        <f>E53+E77+600</f>
        <v>35651.875</v>
      </c>
      <c r="F52" s="235">
        <f>F53+F77+600</f>
        <v>25650</v>
      </c>
      <c r="G52" s="235">
        <f>G53+G77</f>
        <v>66442.850000000006</v>
      </c>
      <c r="H52" s="101"/>
    </row>
    <row r="53" spans="1:8" s="77" customFormat="1" x14ac:dyDescent="0.25">
      <c r="A53" s="278">
        <v>3</v>
      </c>
      <c r="B53" s="279"/>
      <c r="C53" s="279"/>
      <c r="D53" s="123" t="s">
        <v>9</v>
      </c>
      <c r="E53" s="181">
        <f>E54+E61</f>
        <v>34181.945</v>
      </c>
      <c r="F53" s="181">
        <f>F54+F61</f>
        <v>24400</v>
      </c>
      <c r="G53" s="181">
        <f>G54+G61+G76</f>
        <v>65722.850000000006</v>
      </c>
      <c r="H53" s="101"/>
    </row>
    <row r="54" spans="1:8" s="77" customFormat="1" x14ac:dyDescent="0.25">
      <c r="A54" s="280">
        <v>31</v>
      </c>
      <c r="B54" s="281"/>
      <c r="C54" s="281"/>
      <c r="D54" s="211" t="s">
        <v>10</v>
      </c>
      <c r="E54" s="71">
        <f>E55+E57+E59</f>
        <v>9521.125</v>
      </c>
      <c r="F54" s="71">
        <f>F55+F57+F59</f>
        <v>9400</v>
      </c>
      <c r="G54" s="71">
        <f>G55+G57+G59</f>
        <v>12111.1</v>
      </c>
      <c r="H54" s="101"/>
    </row>
    <row r="55" spans="1:8" s="77" customFormat="1" x14ac:dyDescent="0.25">
      <c r="A55" s="292">
        <v>311</v>
      </c>
      <c r="B55" s="293"/>
      <c r="C55" s="294"/>
      <c r="D55" s="214" t="s">
        <v>62</v>
      </c>
      <c r="E55" s="71">
        <f>SUM(E56)</f>
        <v>7700.5349999999999</v>
      </c>
      <c r="F55" s="71">
        <f>SUM(F56)</f>
        <v>7200</v>
      </c>
      <c r="G55" s="71">
        <f>SUM(G56)</f>
        <v>8506.7800000000007</v>
      </c>
      <c r="H55" s="101"/>
    </row>
    <row r="56" spans="1:8" s="70" customFormat="1" x14ac:dyDescent="0.25">
      <c r="A56" s="284">
        <v>3111</v>
      </c>
      <c r="B56" s="285"/>
      <c r="C56" s="285"/>
      <c r="D56" s="78" t="s">
        <v>63</v>
      </c>
      <c r="E56" s="207">
        <f>(14838.27/2)+(562.8/2)</f>
        <v>7700.5349999999999</v>
      </c>
      <c r="F56" s="207">
        <v>7200</v>
      </c>
      <c r="G56" s="207">
        <f>8300.49+206.29</f>
        <v>8506.7800000000007</v>
      </c>
    </row>
    <row r="57" spans="1:8" s="77" customFormat="1" x14ac:dyDescent="0.25">
      <c r="A57" s="276">
        <v>312</v>
      </c>
      <c r="B57" s="277"/>
      <c r="C57" s="277"/>
      <c r="D57" s="214" t="s">
        <v>66</v>
      </c>
      <c r="E57" s="222">
        <f>E58</f>
        <v>550</v>
      </c>
      <c r="F57" s="222">
        <f>F58</f>
        <v>700</v>
      </c>
      <c r="G57" s="222">
        <f>G58</f>
        <v>2200</v>
      </c>
    </row>
    <row r="58" spans="1:8" s="70" customFormat="1" x14ac:dyDescent="0.25">
      <c r="A58" s="284">
        <v>3121</v>
      </c>
      <c r="B58" s="285"/>
      <c r="C58" s="285"/>
      <c r="D58" s="109" t="s">
        <v>66</v>
      </c>
      <c r="E58" s="207">
        <f>300+150+100</f>
        <v>550</v>
      </c>
      <c r="F58" s="207">
        <v>700</v>
      </c>
      <c r="G58" s="207">
        <f>150+50+2000</f>
        <v>2200</v>
      </c>
    </row>
    <row r="59" spans="1:8" s="77" customFormat="1" x14ac:dyDescent="0.25">
      <c r="A59" s="276">
        <v>313</v>
      </c>
      <c r="B59" s="277"/>
      <c r="C59" s="277"/>
      <c r="D59" s="214" t="s">
        <v>67</v>
      </c>
      <c r="E59" s="222">
        <f>E60</f>
        <v>1270.5899999999999</v>
      </c>
      <c r="F59" s="222">
        <f>F60</f>
        <v>1500</v>
      </c>
      <c r="G59" s="222">
        <f>G60</f>
        <v>1404.32</v>
      </c>
    </row>
    <row r="60" spans="1:8" s="70" customFormat="1" ht="15" customHeight="1" x14ac:dyDescent="0.25">
      <c r="A60" s="284">
        <v>3132</v>
      </c>
      <c r="B60" s="285"/>
      <c r="C60" s="285"/>
      <c r="D60" s="109" t="s">
        <v>152</v>
      </c>
      <c r="E60" s="207">
        <v>1270.5899999999999</v>
      </c>
      <c r="F60" s="207">
        <v>1500</v>
      </c>
      <c r="G60" s="207">
        <v>1404.32</v>
      </c>
    </row>
    <row r="61" spans="1:8" s="77" customFormat="1" x14ac:dyDescent="0.25">
      <c r="A61" s="280">
        <v>32</v>
      </c>
      <c r="B61" s="281"/>
      <c r="C61" s="281"/>
      <c r="D61" s="211" t="s">
        <v>19</v>
      </c>
      <c r="E61" s="71">
        <f>E62+E64+E68+E70</f>
        <v>24660.82</v>
      </c>
      <c r="F61" s="71">
        <f>F62+F64+F68+F70</f>
        <v>15000</v>
      </c>
      <c r="G61" s="71">
        <f>G62+G64+G68+G70</f>
        <v>16798.670000000002</v>
      </c>
      <c r="H61" s="101"/>
    </row>
    <row r="62" spans="1:8" s="77" customFormat="1" x14ac:dyDescent="0.25">
      <c r="A62" s="276">
        <v>321</v>
      </c>
      <c r="B62" s="277"/>
      <c r="C62" s="277"/>
      <c r="D62" s="100" t="s">
        <v>153</v>
      </c>
      <c r="E62" s="222">
        <f>SUM(E63)</f>
        <v>363.7</v>
      </c>
      <c r="F62" s="222">
        <f>SUM(F63)</f>
        <v>1000</v>
      </c>
      <c r="G62" s="222">
        <f>SUM(G63)</f>
        <v>344.22</v>
      </c>
    </row>
    <row r="63" spans="1:8" s="70" customFormat="1" ht="25.5" x14ac:dyDescent="0.25">
      <c r="A63" s="284">
        <v>3212</v>
      </c>
      <c r="B63" s="285"/>
      <c r="C63" s="285"/>
      <c r="D63" s="224" t="s">
        <v>154</v>
      </c>
      <c r="E63" s="207">
        <v>363.7</v>
      </c>
      <c r="F63" s="207">
        <v>1000</v>
      </c>
      <c r="G63" s="207">
        <v>344.22</v>
      </c>
    </row>
    <row r="64" spans="1:8" s="77" customFormat="1" x14ac:dyDescent="0.25">
      <c r="A64" s="304">
        <v>322</v>
      </c>
      <c r="B64" s="305"/>
      <c r="C64" s="305"/>
      <c r="D64" s="210" t="s">
        <v>96</v>
      </c>
      <c r="E64" s="222">
        <f>SUM(E65:E67)</f>
        <v>7771.45</v>
      </c>
      <c r="F64" s="222">
        <f>SUM(F65:F67)</f>
        <v>5000</v>
      </c>
      <c r="G64" s="222">
        <f>SUM(G65:G67)</f>
        <v>4846.32</v>
      </c>
    </row>
    <row r="65" spans="1:8" s="70" customFormat="1" x14ac:dyDescent="0.25">
      <c r="A65" s="284">
        <v>3221</v>
      </c>
      <c r="B65" s="285"/>
      <c r="C65" s="285"/>
      <c r="D65" s="78" t="s">
        <v>97</v>
      </c>
      <c r="E65" s="207">
        <f>3347.49+143.53+3744.54</f>
        <v>7235.5599999999995</v>
      </c>
      <c r="F65" s="207">
        <v>5000</v>
      </c>
      <c r="G65" s="207">
        <f>4104.03</f>
        <v>4104.03</v>
      </c>
    </row>
    <row r="66" spans="1:8" s="70" customFormat="1" x14ac:dyDescent="0.25">
      <c r="A66" s="284">
        <v>3222</v>
      </c>
      <c r="B66" s="285"/>
      <c r="C66" s="285"/>
      <c r="D66" s="78" t="s">
        <v>70</v>
      </c>
      <c r="E66" s="207">
        <v>0</v>
      </c>
      <c r="F66" s="207">
        <v>0</v>
      </c>
      <c r="G66" s="207">
        <v>0</v>
      </c>
    </row>
    <row r="67" spans="1:8" s="70" customFormat="1" x14ac:dyDescent="0.25">
      <c r="A67" s="284">
        <v>3225</v>
      </c>
      <c r="B67" s="285"/>
      <c r="C67" s="285"/>
      <c r="D67" s="78" t="s">
        <v>71</v>
      </c>
      <c r="E67" s="207">
        <v>535.89</v>
      </c>
      <c r="F67" s="207">
        <v>0</v>
      </c>
      <c r="G67" s="207">
        <v>742.29</v>
      </c>
    </row>
    <row r="68" spans="1:8" s="77" customFormat="1" x14ac:dyDescent="0.25">
      <c r="A68" s="276">
        <v>323</v>
      </c>
      <c r="B68" s="277"/>
      <c r="C68" s="277"/>
      <c r="D68" s="210" t="s">
        <v>72</v>
      </c>
      <c r="E68" s="222">
        <f>SUM(E69:E69)+60+52.5+194.01+1713.15</f>
        <v>2673.26</v>
      </c>
      <c r="F68" s="222">
        <f>SUM(F69:F69)</f>
        <v>7000</v>
      </c>
      <c r="G68" s="222">
        <f>SUM(G69:G69)</f>
        <v>10393</v>
      </c>
    </row>
    <row r="69" spans="1:8" s="70" customFormat="1" x14ac:dyDescent="0.25">
      <c r="A69" s="284">
        <v>3239</v>
      </c>
      <c r="B69" s="285"/>
      <c r="C69" s="285"/>
      <c r="D69" s="78" t="s">
        <v>74</v>
      </c>
      <c r="E69" s="207">
        <v>653.6</v>
      </c>
      <c r="F69" s="207">
        <v>7000</v>
      </c>
      <c r="G69" s="207">
        <f>80+7658+2655</f>
        <v>10393</v>
      </c>
    </row>
    <row r="70" spans="1:8" s="77" customFormat="1" x14ac:dyDescent="0.25">
      <c r="A70" s="276">
        <v>329</v>
      </c>
      <c r="B70" s="277"/>
      <c r="C70" s="277"/>
      <c r="D70" s="210" t="s">
        <v>128</v>
      </c>
      <c r="E70" s="222">
        <f>SUM(E71:E73)+33.18+10.62</f>
        <v>13852.410000000002</v>
      </c>
      <c r="F70" s="222">
        <f>SUM(F71:F73)</f>
        <v>2000</v>
      </c>
      <c r="G70" s="222">
        <f>SUM(G71:G73)</f>
        <v>1215.1300000000001</v>
      </c>
    </row>
    <row r="71" spans="1:8" s="70" customFormat="1" ht="25.5" x14ac:dyDescent="0.25">
      <c r="A71" s="284">
        <v>3291</v>
      </c>
      <c r="B71" s="285"/>
      <c r="C71" s="285"/>
      <c r="D71" s="78" t="s">
        <v>158</v>
      </c>
      <c r="E71" s="207">
        <v>389.66</v>
      </c>
      <c r="F71" s="207">
        <v>0</v>
      </c>
      <c r="G71" s="207">
        <v>160.04</v>
      </c>
    </row>
    <row r="72" spans="1:8" s="70" customFormat="1" x14ac:dyDescent="0.25">
      <c r="A72" s="284">
        <v>3294</v>
      </c>
      <c r="B72" s="285"/>
      <c r="C72" s="285"/>
      <c r="D72" s="78" t="s">
        <v>84</v>
      </c>
      <c r="E72" s="207">
        <v>163.09</v>
      </c>
      <c r="F72" s="207">
        <v>0</v>
      </c>
      <c r="G72" s="207">
        <v>163.09</v>
      </c>
    </row>
    <row r="73" spans="1:8" s="70" customFormat="1" x14ac:dyDescent="0.25">
      <c r="A73" s="284">
        <v>3299</v>
      </c>
      <c r="B73" s="285"/>
      <c r="C73" s="285"/>
      <c r="D73" s="78" t="s">
        <v>128</v>
      </c>
      <c r="E73" s="207">
        <f>12383.86+872</f>
        <v>13255.86</v>
      </c>
      <c r="F73" s="207">
        <v>2000</v>
      </c>
      <c r="G73" s="207">
        <v>892</v>
      </c>
    </row>
    <row r="74" spans="1:8" s="76" customFormat="1" ht="25.5" x14ac:dyDescent="0.25">
      <c r="A74" s="276">
        <v>36</v>
      </c>
      <c r="B74" s="277"/>
      <c r="C74" s="277"/>
      <c r="D74" s="210" t="s">
        <v>138</v>
      </c>
      <c r="E74" s="222">
        <f>E75</f>
        <v>0</v>
      </c>
      <c r="F74" s="222">
        <f t="shared" ref="F74:G75" si="11">F75</f>
        <v>0</v>
      </c>
      <c r="G74" s="222">
        <f t="shared" si="11"/>
        <v>36813.08</v>
      </c>
    </row>
    <row r="75" spans="1:8" s="77" customFormat="1" ht="25.5" x14ac:dyDescent="0.25">
      <c r="A75" s="276">
        <v>369</v>
      </c>
      <c r="B75" s="277"/>
      <c r="C75" s="277"/>
      <c r="D75" s="210" t="s">
        <v>137</v>
      </c>
      <c r="E75" s="222">
        <f>E76</f>
        <v>0</v>
      </c>
      <c r="F75" s="222">
        <f t="shared" si="11"/>
        <v>0</v>
      </c>
      <c r="G75" s="222">
        <f t="shared" si="11"/>
        <v>36813.08</v>
      </c>
    </row>
    <row r="76" spans="1:8" s="70" customFormat="1" ht="30" customHeight="1" x14ac:dyDescent="0.25">
      <c r="A76" s="284">
        <v>3693</v>
      </c>
      <c r="B76" s="285"/>
      <c r="C76" s="285"/>
      <c r="D76" s="78" t="s">
        <v>141</v>
      </c>
      <c r="E76" s="207">
        <v>0</v>
      </c>
      <c r="F76" s="207">
        <v>0</v>
      </c>
      <c r="G76" s="207">
        <v>36813.08</v>
      </c>
    </row>
    <row r="77" spans="1:8" s="76" customFormat="1" ht="15" customHeight="1" x14ac:dyDescent="0.25">
      <c r="A77" s="278">
        <v>4</v>
      </c>
      <c r="B77" s="279"/>
      <c r="C77" s="279"/>
      <c r="D77" s="123" t="s">
        <v>114</v>
      </c>
      <c r="E77" s="181">
        <f t="shared" ref="E77:G77" si="12">E78</f>
        <v>869.93</v>
      </c>
      <c r="F77" s="181">
        <f t="shared" si="12"/>
        <v>650</v>
      </c>
      <c r="G77" s="181">
        <f t="shared" si="12"/>
        <v>720</v>
      </c>
      <c r="H77" s="208"/>
    </row>
    <row r="78" spans="1:8" s="77" customFormat="1" ht="25.5" x14ac:dyDescent="0.25">
      <c r="A78" s="290">
        <v>42</v>
      </c>
      <c r="B78" s="291"/>
      <c r="C78" s="291"/>
      <c r="D78" s="211" t="s">
        <v>130</v>
      </c>
      <c r="E78" s="71">
        <f>E79</f>
        <v>869.93</v>
      </c>
      <c r="F78" s="71">
        <f>F79</f>
        <v>650</v>
      </c>
      <c r="G78" s="71">
        <f>G79</f>
        <v>720</v>
      </c>
      <c r="H78" s="101"/>
    </row>
    <row r="79" spans="1:8" s="77" customFormat="1" ht="25.5" x14ac:dyDescent="0.25">
      <c r="A79" s="276">
        <v>424</v>
      </c>
      <c r="B79" s="277"/>
      <c r="C79" s="277"/>
      <c r="D79" s="214" t="s">
        <v>163</v>
      </c>
      <c r="E79" s="222">
        <f>SUM(E80)</f>
        <v>869.93</v>
      </c>
      <c r="F79" s="222">
        <f>SUM(F80)</f>
        <v>650</v>
      </c>
      <c r="G79" s="222">
        <f>SUM(G80)</f>
        <v>720</v>
      </c>
    </row>
    <row r="80" spans="1:8" s="70" customFormat="1" x14ac:dyDescent="0.25">
      <c r="A80" s="284">
        <v>4241</v>
      </c>
      <c r="B80" s="285"/>
      <c r="C80" s="285"/>
      <c r="D80" s="109" t="s">
        <v>76</v>
      </c>
      <c r="E80" s="207">
        <v>869.93</v>
      </c>
      <c r="F80" s="207">
        <v>650</v>
      </c>
      <c r="G80" s="207">
        <v>720</v>
      </c>
    </row>
    <row r="81" spans="1:8" s="77" customFormat="1" x14ac:dyDescent="0.25">
      <c r="A81" s="288" t="s">
        <v>104</v>
      </c>
      <c r="B81" s="289"/>
      <c r="C81" s="289"/>
      <c r="D81" s="18" t="s">
        <v>86</v>
      </c>
      <c r="E81" s="235">
        <f>E86</f>
        <v>4642.6900000000005</v>
      </c>
      <c r="F81" s="235">
        <f>F86+F82</f>
        <v>1500</v>
      </c>
      <c r="G81" s="235">
        <f>G86+G82</f>
        <v>8062.5</v>
      </c>
      <c r="H81" s="101"/>
    </row>
    <row r="82" spans="1:8" s="77" customFormat="1" x14ac:dyDescent="0.25">
      <c r="A82" s="278">
        <v>3</v>
      </c>
      <c r="B82" s="279"/>
      <c r="C82" s="279"/>
      <c r="D82" s="123" t="s">
        <v>9</v>
      </c>
      <c r="E82" s="124">
        <f t="shared" ref="E82:G84" si="13">E83</f>
        <v>0</v>
      </c>
      <c r="F82" s="124">
        <f t="shared" si="13"/>
        <v>0</v>
      </c>
      <c r="G82" s="124">
        <f t="shared" si="13"/>
        <v>150</v>
      </c>
      <c r="H82" s="101"/>
    </row>
    <row r="83" spans="1:8" s="77" customFormat="1" x14ac:dyDescent="0.25">
      <c r="A83" s="280">
        <v>32</v>
      </c>
      <c r="B83" s="281"/>
      <c r="C83" s="281"/>
      <c r="D83" s="211" t="s">
        <v>19</v>
      </c>
      <c r="E83" s="203">
        <f t="shared" si="13"/>
        <v>0</v>
      </c>
      <c r="F83" s="203">
        <f t="shared" si="13"/>
        <v>0</v>
      </c>
      <c r="G83" s="203">
        <f t="shared" si="13"/>
        <v>150</v>
      </c>
      <c r="H83" s="101"/>
    </row>
    <row r="84" spans="1:8" s="77" customFormat="1" x14ac:dyDescent="0.25">
      <c r="A84" s="276">
        <v>323</v>
      </c>
      <c r="B84" s="277"/>
      <c r="C84" s="277"/>
      <c r="D84" s="210" t="s">
        <v>72</v>
      </c>
      <c r="E84" s="203">
        <f t="shared" si="13"/>
        <v>0</v>
      </c>
      <c r="F84" s="203">
        <f t="shared" si="13"/>
        <v>0</v>
      </c>
      <c r="G84" s="203">
        <f t="shared" si="13"/>
        <v>150</v>
      </c>
      <c r="H84" s="101"/>
    </row>
    <row r="85" spans="1:8" s="70" customFormat="1" x14ac:dyDescent="0.25">
      <c r="A85" s="284">
        <v>3239</v>
      </c>
      <c r="B85" s="285"/>
      <c r="C85" s="285"/>
      <c r="D85" s="212" t="s">
        <v>142</v>
      </c>
      <c r="E85" s="204">
        <v>0</v>
      </c>
      <c r="F85" s="204">
        <v>0</v>
      </c>
      <c r="G85" s="204">
        <v>150</v>
      </c>
      <c r="H85" s="205"/>
    </row>
    <row r="86" spans="1:8" s="76" customFormat="1" ht="25.5" x14ac:dyDescent="0.25">
      <c r="A86" s="278">
        <v>4</v>
      </c>
      <c r="B86" s="279"/>
      <c r="C86" s="279"/>
      <c r="D86" s="123" t="s">
        <v>114</v>
      </c>
      <c r="E86" s="181">
        <f t="shared" ref="E86:G86" si="14">E87</f>
        <v>4642.6900000000005</v>
      </c>
      <c r="F86" s="181">
        <f t="shared" si="14"/>
        <v>1500</v>
      </c>
      <c r="G86" s="181">
        <f t="shared" si="14"/>
        <v>7912.5</v>
      </c>
      <c r="H86" s="208"/>
    </row>
    <row r="87" spans="1:8" s="77" customFormat="1" ht="25.5" x14ac:dyDescent="0.25">
      <c r="A87" s="280">
        <v>42</v>
      </c>
      <c r="B87" s="281"/>
      <c r="C87" s="281"/>
      <c r="D87" s="211" t="s">
        <v>130</v>
      </c>
      <c r="E87" s="71">
        <f>E88+369</f>
        <v>4642.6900000000005</v>
      </c>
      <c r="F87" s="71">
        <f t="shared" ref="F87:G87" si="15">F88</f>
        <v>1500</v>
      </c>
      <c r="G87" s="71">
        <f t="shared" si="15"/>
        <v>7912.5</v>
      </c>
      <c r="H87" s="101"/>
    </row>
    <row r="88" spans="1:8" s="77" customFormat="1" x14ac:dyDescent="0.25">
      <c r="A88" s="276">
        <v>422</v>
      </c>
      <c r="B88" s="277"/>
      <c r="C88" s="277"/>
      <c r="D88" s="214" t="s">
        <v>169</v>
      </c>
      <c r="E88" s="222">
        <f t="shared" ref="E88:G88" si="16">SUM(E89:E91)</f>
        <v>4273.6900000000005</v>
      </c>
      <c r="F88" s="222">
        <f t="shared" si="16"/>
        <v>1500</v>
      </c>
      <c r="G88" s="222">
        <f t="shared" si="16"/>
        <v>7912.5</v>
      </c>
    </row>
    <row r="89" spans="1:8" s="70" customFormat="1" x14ac:dyDescent="0.25">
      <c r="A89" s="284">
        <v>4221</v>
      </c>
      <c r="B89" s="285"/>
      <c r="C89" s="285"/>
      <c r="D89" s="109" t="s">
        <v>79</v>
      </c>
      <c r="E89" s="207">
        <f>3273.69+1000</f>
        <v>4273.6900000000005</v>
      </c>
      <c r="F89" s="207">
        <v>1500</v>
      </c>
      <c r="G89" s="207">
        <f>1350</f>
        <v>1350</v>
      </c>
    </row>
    <row r="90" spans="1:8" s="70" customFormat="1" ht="15.75" thickBot="1" x14ac:dyDescent="0.3">
      <c r="A90" s="286">
        <v>4227</v>
      </c>
      <c r="B90" s="287"/>
      <c r="C90" s="287"/>
      <c r="D90" s="215" t="s">
        <v>162</v>
      </c>
      <c r="E90" s="228">
        <v>0</v>
      </c>
      <c r="F90" s="228">
        <v>0</v>
      </c>
      <c r="G90" s="228">
        <v>6562.5</v>
      </c>
    </row>
    <row r="91" spans="1:8" s="102" customFormat="1" ht="15.75" thickBot="1" x14ac:dyDescent="0.3">
      <c r="A91" s="184"/>
      <c r="B91" s="73"/>
      <c r="C91" s="73"/>
      <c r="D91" s="69"/>
      <c r="E91" s="72"/>
      <c r="F91" s="72"/>
      <c r="G91" s="72"/>
      <c r="H91" s="103"/>
    </row>
    <row r="92" spans="1:8" s="77" customFormat="1" ht="15.75" thickBot="1" x14ac:dyDescent="0.3">
      <c r="A92" s="299" t="s">
        <v>134</v>
      </c>
      <c r="B92" s="300"/>
      <c r="C92" s="300"/>
      <c r="D92" s="301"/>
      <c r="E92" s="245">
        <f t="shared" ref="E92:F93" si="17">E93</f>
        <v>60358.799999999988</v>
      </c>
      <c r="F92" s="245">
        <f t="shared" si="17"/>
        <v>49800</v>
      </c>
      <c r="G92" s="245">
        <f>G93</f>
        <v>109377.34000000001</v>
      </c>
      <c r="H92" s="101"/>
    </row>
    <row r="93" spans="1:8" s="77" customFormat="1" x14ac:dyDescent="0.25">
      <c r="A93" s="302" t="s">
        <v>94</v>
      </c>
      <c r="B93" s="303"/>
      <c r="C93" s="303"/>
      <c r="D93" s="238" t="s">
        <v>68</v>
      </c>
      <c r="E93" s="239">
        <f t="shared" si="17"/>
        <v>60358.799999999988</v>
      </c>
      <c r="F93" s="239">
        <f t="shared" si="17"/>
        <v>49800</v>
      </c>
      <c r="G93" s="239">
        <f>G94+G121</f>
        <v>109377.34000000001</v>
      </c>
      <c r="H93" s="101"/>
    </row>
    <row r="94" spans="1:8" s="77" customFormat="1" x14ac:dyDescent="0.25">
      <c r="A94" s="278">
        <v>3</v>
      </c>
      <c r="B94" s="279"/>
      <c r="C94" s="279"/>
      <c r="D94" s="123" t="s">
        <v>9</v>
      </c>
      <c r="E94" s="181">
        <f>E95+E118</f>
        <v>60358.799999999988</v>
      </c>
      <c r="F94" s="181">
        <f>F95+F118</f>
        <v>49800</v>
      </c>
      <c r="G94" s="181">
        <f>G95+G118</f>
        <v>66700.650000000009</v>
      </c>
      <c r="H94" s="101"/>
    </row>
    <row r="95" spans="1:8" s="77" customFormat="1" x14ac:dyDescent="0.25">
      <c r="A95" s="280">
        <v>32</v>
      </c>
      <c r="B95" s="281"/>
      <c r="C95" s="281"/>
      <c r="D95" s="211" t="s">
        <v>19</v>
      </c>
      <c r="E95" s="71">
        <f>E96+E100+E107+E115</f>
        <v>59420.669999999991</v>
      </c>
      <c r="F95" s="71">
        <f>F96+F100+F107+F115</f>
        <v>49000</v>
      </c>
      <c r="G95" s="71">
        <f>G96+G100+G107+G115</f>
        <v>65729.970000000016</v>
      </c>
      <c r="H95" s="101"/>
    </row>
    <row r="96" spans="1:8" s="77" customFormat="1" x14ac:dyDescent="0.25">
      <c r="A96" s="276">
        <v>321</v>
      </c>
      <c r="B96" s="277"/>
      <c r="C96" s="277"/>
      <c r="D96" s="100" t="s">
        <v>153</v>
      </c>
      <c r="E96" s="88">
        <f>E97+E98+E99</f>
        <v>5106.88</v>
      </c>
      <c r="F96" s="88">
        <f>F97+F98+F99</f>
        <v>4500</v>
      </c>
      <c r="G96" s="88">
        <f>G97+G98+G99</f>
        <v>5590.83</v>
      </c>
    </row>
    <row r="97" spans="1:7" s="70" customFormat="1" x14ac:dyDescent="0.25">
      <c r="A97" s="284">
        <v>3211</v>
      </c>
      <c r="B97" s="285"/>
      <c r="C97" s="285"/>
      <c r="D97" s="104" t="s">
        <v>77</v>
      </c>
      <c r="E97" s="80">
        <f>1436.85+695.58+1129.31</f>
        <v>3261.74</v>
      </c>
      <c r="F97" s="80">
        <v>3000</v>
      </c>
      <c r="G97" s="80">
        <f>550.87+600+640+419.1+1375.2</f>
        <v>3585.17</v>
      </c>
    </row>
    <row r="98" spans="1:7" s="70" customFormat="1" x14ac:dyDescent="0.25">
      <c r="A98" s="284">
        <v>3213</v>
      </c>
      <c r="B98" s="285"/>
      <c r="C98" s="285"/>
      <c r="D98" s="104" t="s">
        <v>155</v>
      </c>
      <c r="E98" s="80">
        <f>540</f>
        <v>540</v>
      </c>
      <c r="F98" s="80">
        <v>1000</v>
      </c>
      <c r="G98" s="80">
        <v>715</v>
      </c>
    </row>
    <row r="99" spans="1:7" s="70" customFormat="1" x14ac:dyDescent="0.25">
      <c r="A99" s="284">
        <v>3214</v>
      </c>
      <c r="B99" s="285"/>
      <c r="C99" s="285"/>
      <c r="D99" s="104" t="s">
        <v>124</v>
      </c>
      <c r="E99" s="80">
        <f>1305.14</f>
        <v>1305.1400000000001</v>
      </c>
      <c r="F99" s="80">
        <v>500</v>
      </c>
      <c r="G99" s="80">
        <v>1290.6600000000001</v>
      </c>
    </row>
    <row r="100" spans="1:7" s="77" customFormat="1" x14ac:dyDescent="0.25">
      <c r="A100" s="276">
        <v>322</v>
      </c>
      <c r="B100" s="277"/>
      <c r="C100" s="277"/>
      <c r="D100" s="210" t="s">
        <v>96</v>
      </c>
      <c r="E100" s="88">
        <f>SUM(E101:E106)</f>
        <v>34491.99</v>
      </c>
      <c r="F100" s="88">
        <f>SUM(F101:F106)</f>
        <v>28300</v>
      </c>
      <c r="G100" s="88">
        <f>SUM(G101:G106)</f>
        <v>42180.73000000001</v>
      </c>
    </row>
    <row r="101" spans="1:7" s="70" customFormat="1" x14ac:dyDescent="0.25">
      <c r="A101" s="284">
        <v>3221</v>
      </c>
      <c r="B101" s="285"/>
      <c r="C101" s="285"/>
      <c r="D101" s="78" t="s">
        <v>125</v>
      </c>
      <c r="E101" s="80">
        <f>327.06+360.47+1384.46+63.38+70.61+574.99+4321.37+3121.5+895.8+117.88</f>
        <v>11237.519999999999</v>
      </c>
      <c r="F101" s="80">
        <v>6000</v>
      </c>
      <c r="G101" s="80">
        <f>538.59+480.48+678.53+161.26+202.48+4500+3000+500+9.67</f>
        <v>10071.01</v>
      </c>
    </row>
    <row r="102" spans="1:7" s="70" customFormat="1" x14ac:dyDescent="0.25">
      <c r="A102" s="284">
        <v>3222</v>
      </c>
      <c r="B102" s="285"/>
      <c r="C102" s="285"/>
      <c r="D102" s="186" t="s">
        <v>70</v>
      </c>
      <c r="E102" s="80">
        <f>476.23</f>
        <v>476.23</v>
      </c>
      <c r="F102" s="80">
        <v>500</v>
      </c>
      <c r="G102" s="80">
        <v>68.28</v>
      </c>
    </row>
    <row r="103" spans="1:7" s="70" customFormat="1" x14ac:dyDescent="0.25">
      <c r="A103" s="284">
        <v>3223</v>
      </c>
      <c r="B103" s="285"/>
      <c r="C103" s="285"/>
      <c r="D103" s="78" t="s">
        <v>81</v>
      </c>
      <c r="E103" s="80">
        <f>5133.76+3622.32+4421.1+2786.8+415.12</f>
        <v>16379.1</v>
      </c>
      <c r="F103" s="80">
        <v>20000</v>
      </c>
      <c r="G103" s="80">
        <f>6580.39+3933.64+6321.1+8095.35+277.99</f>
        <v>25208.470000000005</v>
      </c>
    </row>
    <row r="104" spans="1:7" s="70" customFormat="1" ht="25.5" x14ac:dyDescent="0.25">
      <c r="A104" s="284">
        <v>3224</v>
      </c>
      <c r="B104" s="285"/>
      <c r="C104" s="285"/>
      <c r="D104" s="78" t="s">
        <v>126</v>
      </c>
      <c r="E104" s="207">
        <f>4104.17+874.82</f>
        <v>4978.99</v>
      </c>
      <c r="F104" s="207">
        <v>1000</v>
      </c>
      <c r="G104" s="207">
        <f>5500+345.34</f>
        <v>5845.34</v>
      </c>
    </row>
    <row r="105" spans="1:7" s="70" customFormat="1" x14ac:dyDescent="0.25">
      <c r="A105" s="284">
        <v>3225</v>
      </c>
      <c r="B105" s="285"/>
      <c r="C105" s="285"/>
      <c r="D105" s="78" t="s">
        <v>156</v>
      </c>
      <c r="E105" s="80">
        <f>(1758.9-153.45-179.94-202.5)</f>
        <v>1223.01</v>
      </c>
      <c r="F105" s="80">
        <v>500</v>
      </c>
      <c r="G105" s="80">
        <f>40.55+325+9.18+157.25</f>
        <v>531.98</v>
      </c>
    </row>
    <row r="106" spans="1:7" s="70" customFormat="1" x14ac:dyDescent="0.25">
      <c r="A106" s="284">
        <v>3227</v>
      </c>
      <c r="B106" s="285"/>
      <c r="C106" s="285"/>
      <c r="D106" s="78" t="s">
        <v>170</v>
      </c>
      <c r="E106" s="207">
        <v>197.14</v>
      </c>
      <c r="F106" s="207">
        <v>300</v>
      </c>
      <c r="G106" s="207">
        <v>455.65</v>
      </c>
    </row>
    <row r="107" spans="1:7" s="77" customFormat="1" x14ac:dyDescent="0.25">
      <c r="A107" s="276">
        <v>323</v>
      </c>
      <c r="B107" s="277"/>
      <c r="C107" s="277"/>
      <c r="D107" s="210" t="s">
        <v>72</v>
      </c>
      <c r="E107" s="88">
        <f>SUM(E108:E114)+248.85</f>
        <v>19309.309999999994</v>
      </c>
      <c r="F107" s="88">
        <f>SUM(F108:F114)</f>
        <v>12600</v>
      </c>
      <c r="G107" s="88">
        <f>SUM(G108:G114)</f>
        <v>16647.919999999998</v>
      </c>
    </row>
    <row r="108" spans="1:7" s="70" customFormat="1" x14ac:dyDescent="0.25">
      <c r="A108" s="284">
        <v>3231</v>
      </c>
      <c r="B108" s="285"/>
      <c r="C108" s="285"/>
      <c r="D108" s="78" t="s">
        <v>103</v>
      </c>
      <c r="E108" s="80">
        <f>1046.11+167.15+218+211.25-60</f>
        <v>1582.51</v>
      </c>
      <c r="F108" s="80">
        <v>1800</v>
      </c>
      <c r="G108" s="80">
        <f>1032.03+134.94</f>
        <v>1166.97</v>
      </c>
    </row>
    <row r="109" spans="1:7" s="70" customFormat="1" x14ac:dyDescent="0.25">
      <c r="A109" s="284">
        <v>3232</v>
      </c>
      <c r="B109" s="285"/>
      <c r="C109" s="285"/>
      <c r="D109" s="78" t="s">
        <v>127</v>
      </c>
      <c r="E109" s="80">
        <f>2385+508.19+3111.07-52.5</f>
        <v>5951.76</v>
      </c>
      <c r="F109" s="80">
        <v>3000</v>
      </c>
      <c r="G109" s="80">
        <f>322+365.38+2748.58</f>
        <v>3435.96</v>
      </c>
    </row>
    <row r="110" spans="1:7" s="70" customFormat="1" x14ac:dyDescent="0.25">
      <c r="A110" s="284">
        <v>3234</v>
      </c>
      <c r="B110" s="285"/>
      <c r="C110" s="285"/>
      <c r="D110" s="78" t="s">
        <v>73</v>
      </c>
      <c r="E110" s="80">
        <f>1553.91+1463.58+645.66+263.25+681.25+1073.11</f>
        <v>5680.7599999999993</v>
      </c>
      <c r="F110" s="80">
        <v>3500</v>
      </c>
      <c r="G110" s="80">
        <f>2096.51+969.62+250+428.52+718.75+1073.11</f>
        <v>5536.5099999999993</v>
      </c>
    </row>
    <row r="111" spans="1:7" s="70" customFormat="1" x14ac:dyDescent="0.25">
      <c r="A111" s="284">
        <v>3236</v>
      </c>
      <c r="B111" s="285"/>
      <c r="C111" s="285"/>
      <c r="D111" s="78" t="s">
        <v>100</v>
      </c>
      <c r="E111" s="80">
        <f>2734.56+703.04</f>
        <v>3437.6</v>
      </c>
      <c r="F111" s="80">
        <v>2500</v>
      </c>
      <c r="G111" s="80">
        <f>2785.7+351.87</f>
        <v>3137.5699999999997</v>
      </c>
    </row>
    <row r="112" spans="1:7" s="70" customFormat="1" x14ac:dyDescent="0.25">
      <c r="A112" s="284">
        <v>3237</v>
      </c>
      <c r="B112" s="285"/>
      <c r="C112" s="285"/>
      <c r="D112" s="78" t="s">
        <v>82</v>
      </c>
      <c r="E112" s="80">
        <f>449.84+969.26</f>
        <v>1419.1</v>
      </c>
      <c r="F112" s="80">
        <v>300</v>
      </c>
      <c r="G112" s="80">
        <v>1914.09</v>
      </c>
    </row>
    <row r="113" spans="1:9" s="70" customFormat="1" x14ac:dyDescent="0.25">
      <c r="A113" s="284">
        <v>3238</v>
      </c>
      <c r="B113" s="285"/>
      <c r="C113" s="285"/>
      <c r="D113" s="78" t="s">
        <v>83</v>
      </c>
      <c r="E113" s="80">
        <f>65.63+855+36.1</f>
        <v>956.73</v>
      </c>
      <c r="F113" s="80">
        <v>1000</v>
      </c>
      <c r="G113" s="80">
        <f>846.25+71.25+19.92</f>
        <v>937.42</v>
      </c>
    </row>
    <row r="114" spans="1:9" s="70" customFormat="1" x14ac:dyDescent="0.25">
      <c r="A114" s="284">
        <v>3239</v>
      </c>
      <c r="B114" s="285"/>
      <c r="C114" s="285"/>
      <c r="D114" s="78" t="s">
        <v>74</v>
      </c>
      <c r="E114" s="80">
        <v>32</v>
      </c>
      <c r="F114" s="80">
        <v>500</v>
      </c>
      <c r="G114" s="80">
        <f>13.4+500+6</f>
        <v>519.4</v>
      </c>
    </row>
    <row r="115" spans="1:9" s="77" customFormat="1" x14ac:dyDescent="0.25">
      <c r="A115" s="276">
        <v>329</v>
      </c>
      <c r="B115" s="277"/>
      <c r="C115" s="277"/>
      <c r="D115" s="210" t="s">
        <v>128</v>
      </c>
      <c r="E115" s="88">
        <f>SUM(E116:E117)</f>
        <v>512.49</v>
      </c>
      <c r="F115" s="88">
        <f>SUM(F116:F117)</f>
        <v>3600</v>
      </c>
      <c r="G115" s="88">
        <f>SUM(G116:G117)</f>
        <v>1310.49</v>
      </c>
    </row>
    <row r="116" spans="1:9" s="70" customFormat="1" x14ac:dyDescent="0.25">
      <c r="A116" s="284">
        <v>3295</v>
      </c>
      <c r="B116" s="285"/>
      <c r="C116" s="285"/>
      <c r="D116" s="78" t="s">
        <v>85</v>
      </c>
      <c r="E116" s="80">
        <v>266.08</v>
      </c>
      <c r="F116" s="80">
        <v>400</v>
      </c>
      <c r="G116" s="80">
        <f>33.18+21.24</f>
        <v>54.42</v>
      </c>
    </row>
    <row r="117" spans="1:9" s="70" customFormat="1" x14ac:dyDescent="0.25">
      <c r="A117" s="284">
        <v>3299</v>
      </c>
      <c r="B117" s="285"/>
      <c r="C117" s="285"/>
      <c r="D117" s="78" t="s">
        <v>128</v>
      </c>
      <c r="E117" s="80">
        <f>21.36+225.05</f>
        <v>246.41000000000003</v>
      </c>
      <c r="F117" s="80">
        <v>3200</v>
      </c>
      <c r="G117" s="80">
        <f>780.23+297.03+178.81</f>
        <v>1256.07</v>
      </c>
    </row>
    <row r="118" spans="1:9" s="77" customFormat="1" x14ac:dyDescent="0.25">
      <c r="A118" s="276">
        <v>34</v>
      </c>
      <c r="B118" s="277"/>
      <c r="C118" s="277"/>
      <c r="D118" s="213" t="s">
        <v>61</v>
      </c>
      <c r="E118" s="89">
        <f t="shared" ref="E118:F119" si="18">SUM(E119)</f>
        <v>938.13</v>
      </c>
      <c r="F118" s="89">
        <f t="shared" si="18"/>
        <v>800</v>
      </c>
      <c r="G118" s="89">
        <f>SUM(G119)</f>
        <v>970.68</v>
      </c>
    </row>
    <row r="119" spans="1:9" s="77" customFormat="1" x14ac:dyDescent="0.25">
      <c r="A119" s="276">
        <v>343</v>
      </c>
      <c r="B119" s="277"/>
      <c r="C119" s="277"/>
      <c r="D119" s="210" t="s">
        <v>87</v>
      </c>
      <c r="E119" s="88">
        <f>SUM(E120)+2.13</f>
        <v>938.13</v>
      </c>
      <c r="F119" s="88">
        <f t="shared" si="18"/>
        <v>800</v>
      </c>
      <c r="G119" s="88">
        <f>SUM(G120)</f>
        <v>970.68</v>
      </c>
    </row>
    <row r="120" spans="1:9" s="70" customFormat="1" x14ac:dyDescent="0.25">
      <c r="A120" s="284">
        <v>3431</v>
      </c>
      <c r="B120" s="285"/>
      <c r="C120" s="285"/>
      <c r="D120" s="109" t="s">
        <v>129</v>
      </c>
      <c r="E120" s="80">
        <v>936</v>
      </c>
      <c r="F120" s="80">
        <v>800</v>
      </c>
      <c r="G120" s="80">
        <v>970.68</v>
      </c>
    </row>
    <row r="121" spans="1:9" s="76" customFormat="1" ht="15" customHeight="1" x14ac:dyDescent="0.25">
      <c r="A121" s="308">
        <v>4</v>
      </c>
      <c r="B121" s="309"/>
      <c r="C121" s="309"/>
      <c r="D121" s="231" t="s">
        <v>114</v>
      </c>
      <c r="E121" s="234">
        <f t="shared" ref="E121:G123" si="19">E122</f>
        <v>0</v>
      </c>
      <c r="F121" s="234">
        <f t="shared" si="19"/>
        <v>0</v>
      </c>
      <c r="G121" s="234">
        <f t="shared" si="19"/>
        <v>42676.69</v>
      </c>
      <c r="I121" s="208"/>
    </row>
    <row r="122" spans="1:9" s="70" customFormat="1" ht="25.5" x14ac:dyDescent="0.25">
      <c r="A122" s="280">
        <v>45</v>
      </c>
      <c r="B122" s="281"/>
      <c r="C122" s="281"/>
      <c r="D122" s="211" t="s">
        <v>117</v>
      </c>
      <c r="E122" s="222">
        <f t="shared" si="19"/>
        <v>0</v>
      </c>
      <c r="F122" s="222">
        <f t="shared" si="19"/>
        <v>0</v>
      </c>
      <c r="G122" s="222">
        <f t="shared" si="19"/>
        <v>42676.69</v>
      </c>
    </row>
    <row r="123" spans="1:9" s="70" customFormat="1" x14ac:dyDescent="0.25">
      <c r="A123" s="276">
        <v>451</v>
      </c>
      <c r="B123" s="277"/>
      <c r="C123" s="277"/>
      <c r="D123" s="206" t="s">
        <v>116</v>
      </c>
      <c r="E123" s="88">
        <f t="shared" si="19"/>
        <v>0</v>
      </c>
      <c r="F123" s="88">
        <f t="shared" si="19"/>
        <v>0</v>
      </c>
      <c r="G123" s="88">
        <f t="shared" si="19"/>
        <v>42676.69</v>
      </c>
    </row>
    <row r="124" spans="1:9" s="70" customFormat="1" ht="15" customHeight="1" thickBot="1" x14ac:dyDescent="0.3">
      <c r="A124" s="286">
        <v>4511</v>
      </c>
      <c r="B124" s="287"/>
      <c r="C124" s="287"/>
      <c r="D124" s="215" t="s">
        <v>116</v>
      </c>
      <c r="E124" s="225">
        <v>0</v>
      </c>
      <c r="F124" s="225">
        <v>0</v>
      </c>
      <c r="G124" s="225">
        <v>42676.69</v>
      </c>
      <c r="H124" s="205"/>
    </row>
    <row r="125" spans="1:9" s="77" customFormat="1" ht="15.75" thickBot="1" x14ac:dyDescent="0.3">
      <c r="A125" s="241"/>
      <c r="B125" s="242"/>
      <c r="C125" s="242"/>
      <c r="D125" s="243"/>
      <c r="E125" s="244"/>
      <c r="F125" s="244"/>
      <c r="G125" s="244"/>
      <c r="H125" s="101"/>
    </row>
    <row r="126" spans="1:9" s="77" customFormat="1" ht="15.75" thickBot="1" x14ac:dyDescent="0.3">
      <c r="A126" s="299" t="s">
        <v>133</v>
      </c>
      <c r="B126" s="300"/>
      <c r="C126" s="300"/>
      <c r="D126" s="301"/>
      <c r="E126" s="236">
        <f>E140+E127</f>
        <v>38781.42</v>
      </c>
      <c r="F126" s="236">
        <f>F140+F127</f>
        <v>37300</v>
      </c>
      <c r="G126" s="236">
        <f>G140+G127</f>
        <v>37500.6</v>
      </c>
      <c r="H126" s="101"/>
      <c r="I126" s="76"/>
    </row>
    <row r="127" spans="1:9" s="77" customFormat="1" ht="18" customHeight="1" x14ac:dyDescent="0.25">
      <c r="A127" s="302" t="s">
        <v>94</v>
      </c>
      <c r="B127" s="303"/>
      <c r="C127" s="303"/>
      <c r="D127" s="238" t="s">
        <v>68</v>
      </c>
      <c r="E127" s="239">
        <f>E128</f>
        <v>6359.5859999999993</v>
      </c>
      <c r="F127" s="239">
        <f>F128</f>
        <v>3500</v>
      </c>
      <c r="G127" s="239">
        <f>G128</f>
        <v>5100.0599999999995</v>
      </c>
      <c r="H127" s="101"/>
      <c r="I127" s="101"/>
    </row>
    <row r="128" spans="1:9" s="77" customFormat="1" x14ac:dyDescent="0.25">
      <c r="A128" s="278">
        <v>3</v>
      </c>
      <c r="B128" s="279"/>
      <c r="C128" s="279"/>
      <c r="D128" s="123" t="s">
        <v>9</v>
      </c>
      <c r="E128" s="181">
        <f>E129+E136</f>
        <v>6359.5859999999993</v>
      </c>
      <c r="F128" s="181">
        <f>F129+F136</f>
        <v>3500</v>
      </c>
      <c r="G128" s="181">
        <f>G129+G136</f>
        <v>5100.0599999999995</v>
      </c>
      <c r="H128" s="101"/>
    </row>
    <row r="129" spans="1:8" s="77" customFormat="1" x14ac:dyDescent="0.25">
      <c r="A129" s="280">
        <v>31</v>
      </c>
      <c r="B129" s="281"/>
      <c r="C129" s="281"/>
      <c r="D129" s="211" t="s">
        <v>10</v>
      </c>
      <c r="E129" s="71">
        <f>E130+E134+E132</f>
        <v>4159.8389999999999</v>
      </c>
      <c r="F129" s="71">
        <f>F130+F134+F132</f>
        <v>3400</v>
      </c>
      <c r="G129" s="71">
        <f>G130+G134+G132</f>
        <v>5002.2299999999996</v>
      </c>
      <c r="H129" s="101"/>
    </row>
    <row r="130" spans="1:8" s="77" customFormat="1" ht="15" customHeight="1" x14ac:dyDescent="0.25">
      <c r="A130" s="292">
        <v>311</v>
      </c>
      <c r="B130" s="293"/>
      <c r="C130" s="294"/>
      <c r="D130" s="214" t="s">
        <v>62</v>
      </c>
      <c r="E130" s="71">
        <f>SUM(E131)</f>
        <v>2686.5560000000005</v>
      </c>
      <c r="F130" s="71">
        <f>SUM(F131)</f>
        <v>2100</v>
      </c>
      <c r="G130" s="71">
        <f>SUM(G131)</f>
        <v>3001.28</v>
      </c>
      <c r="H130" s="101"/>
    </row>
    <row r="131" spans="1:8" s="70" customFormat="1" x14ac:dyDescent="0.25">
      <c r="A131" s="284">
        <v>3111</v>
      </c>
      <c r="B131" s="285"/>
      <c r="C131" s="285"/>
      <c r="D131" s="78" t="s">
        <v>63</v>
      </c>
      <c r="E131" s="207">
        <f>26865.56*0.1</f>
        <v>2686.5560000000005</v>
      </c>
      <c r="F131" s="207">
        <v>2100</v>
      </c>
      <c r="G131" s="207">
        <f>3346.28-345</f>
        <v>3001.28</v>
      </c>
    </row>
    <row r="132" spans="1:8" s="77" customFormat="1" x14ac:dyDescent="0.25">
      <c r="A132" s="276">
        <v>312</v>
      </c>
      <c r="B132" s="277"/>
      <c r="C132" s="277"/>
      <c r="D132" s="214" t="s">
        <v>66</v>
      </c>
      <c r="E132" s="222">
        <f>E133</f>
        <v>1030</v>
      </c>
      <c r="F132" s="222">
        <f>F133</f>
        <v>700</v>
      </c>
      <c r="G132" s="222">
        <f>G133</f>
        <v>1500</v>
      </c>
    </row>
    <row r="133" spans="1:8" s="70" customFormat="1" x14ac:dyDescent="0.25">
      <c r="A133" s="284">
        <v>3121</v>
      </c>
      <c r="B133" s="285"/>
      <c r="C133" s="285"/>
      <c r="D133" s="109" t="s">
        <v>66</v>
      </c>
      <c r="E133" s="207">
        <f>150+180+700</f>
        <v>1030</v>
      </c>
      <c r="F133" s="207">
        <v>700</v>
      </c>
      <c r="G133" s="207">
        <f>500+1500-500</f>
        <v>1500</v>
      </c>
    </row>
    <row r="134" spans="1:8" s="77" customFormat="1" x14ac:dyDescent="0.25">
      <c r="A134" s="276">
        <v>313</v>
      </c>
      <c r="B134" s="277"/>
      <c r="C134" s="277"/>
      <c r="D134" s="214" t="s">
        <v>67</v>
      </c>
      <c r="E134" s="222">
        <f>E135</f>
        <v>443.28300000000002</v>
      </c>
      <c r="F134" s="222">
        <f>F135</f>
        <v>600</v>
      </c>
      <c r="G134" s="222">
        <f>G135</f>
        <v>500.95</v>
      </c>
    </row>
    <row r="135" spans="1:8" s="70" customFormat="1" ht="15" customHeight="1" x14ac:dyDescent="0.25">
      <c r="A135" s="284">
        <v>3132</v>
      </c>
      <c r="B135" s="285"/>
      <c r="C135" s="285"/>
      <c r="D135" s="109" t="s">
        <v>152</v>
      </c>
      <c r="E135" s="207">
        <f>4432.83*0.1</f>
        <v>443.28300000000002</v>
      </c>
      <c r="F135" s="207">
        <v>600</v>
      </c>
      <c r="G135" s="207">
        <f>557.88-56.93</f>
        <v>500.95</v>
      </c>
    </row>
    <row r="136" spans="1:8" s="77" customFormat="1" x14ac:dyDescent="0.25">
      <c r="A136" s="280">
        <v>32</v>
      </c>
      <c r="B136" s="281"/>
      <c r="C136" s="281"/>
      <c r="D136" s="211" t="s">
        <v>19</v>
      </c>
      <c r="E136" s="71">
        <f>E137</f>
        <v>2199.7469999999998</v>
      </c>
      <c r="F136" s="71">
        <f>F137</f>
        <v>100</v>
      </c>
      <c r="G136" s="71">
        <f>G137</f>
        <v>97.83</v>
      </c>
      <c r="H136" s="101"/>
    </row>
    <row r="137" spans="1:8" s="77" customFormat="1" x14ac:dyDescent="0.25">
      <c r="A137" s="276">
        <v>321</v>
      </c>
      <c r="B137" s="277"/>
      <c r="C137" s="277"/>
      <c r="D137" s="100" t="s">
        <v>153</v>
      </c>
      <c r="E137" s="222">
        <f>E139+2057.16</f>
        <v>2199.7469999999998</v>
      </c>
      <c r="F137" s="222">
        <f>F139+F138</f>
        <v>100</v>
      </c>
      <c r="G137" s="222">
        <f>G139+G138</f>
        <v>97.83</v>
      </c>
    </row>
    <row r="138" spans="1:8" s="77" customFormat="1" x14ac:dyDescent="0.25">
      <c r="A138" s="284">
        <v>3211</v>
      </c>
      <c r="B138" s="285"/>
      <c r="C138" s="285"/>
      <c r="D138" s="104" t="s">
        <v>77</v>
      </c>
      <c r="E138" s="222">
        <v>0</v>
      </c>
      <c r="F138" s="222">
        <v>0</v>
      </c>
      <c r="G138" s="222">
        <v>9</v>
      </c>
    </row>
    <row r="139" spans="1:8" s="70" customFormat="1" ht="25.5" x14ac:dyDescent="0.25">
      <c r="A139" s="284">
        <v>3212</v>
      </c>
      <c r="B139" s="285"/>
      <c r="C139" s="285"/>
      <c r="D139" s="224" t="s">
        <v>154</v>
      </c>
      <c r="E139" s="207">
        <f>1425.87*0.1</f>
        <v>142.58699999999999</v>
      </c>
      <c r="F139" s="207">
        <v>100</v>
      </c>
      <c r="G139" s="207">
        <f>96.19-7.36</f>
        <v>88.83</v>
      </c>
    </row>
    <row r="140" spans="1:8" s="77" customFormat="1" ht="18" customHeight="1" x14ac:dyDescent="0.25">
      <c r="A140" s="288" t="s">
        <v>98</v>
      </c>
      <c r="B140" s="289"/>
      <c r="C140" s="289"/>
      <c r="D140" s="216" t="s">
        <v>80</v>
      </c>
      <c r="E140" s="182">
        <f>E141</f>
        <v>32421.833999999999</v>
      </c>
      <c r="F140" s="182">
        <f>F141</f>
        <v>33800</v>
      </c>
      <c r="G140" s="182">
        <f>G141</f>
        <v>32400.54</v>
      </c>
      <c r="H140" s="101"/>
    </row>
    <row r="141" spans="1:8" s="77" customFormat="1" x14ac:dyDescent="0.25">
      <c r="A141" s="278">
        <v>3</v>
      </c>
      <c r="B141" s="279"/>
      <c r="C141" s="279"/>
      <c r="D141" s="123" t="s">
        <v>9</v>
      </c>
      <c r="E141" s="181">
        <f>E142+E149</f>
        <v>32421.833999999999</v>
      </c>
      <c r="F141" s="181">
        <f>F142+F149</f>
        <v>33800</v>
      </c>
      <c r="G141" s="181">
        <f>G142+G149</f>
        <v>32400.54</v>
      </c>
      <c r="H141" s="101"/>
    </row>
    <row r="142" spans="1:8" s="77" customFormat="1" x14ac:dyDescent="0.25">
      <c r="A142" s="280">
        <v>31</v>
      </c>
      <c r="B142" s="281"/>
      <c r="C142" s="281"/>
      <c r="D142" s="211" t="s">
        <v>10</v>
      </c>
      <c r="E142" s="71">
        <f>E143+E147+E145</f>
        <v>31138.550999999999</v>
      </c>
      <c r="F142" s="71">
        <f>F143+F147+F145</f>
        <v>32600</v>
      </c>
      <c r="G142" s="71">
        <f>G143+G147</f>
        <v>31520.100000000002</v>
      </c>
      <c r="H142" s="101"/>
    </row>
    <row r="143" spans="1:8" s="77" customFormat="1" x14ac:dyDescent="0.25">
      <c r="A143" s="292">
        <v>311</v>
      </c>
      <c r="B143" s="293"/>
      <c r="C143" s="294"/>
      <c r="D143" s="214" t="s">
        <v>62</v>
      </c>
      <c r="E143" s="71">
        <f>E144</f>
        <v>24179.004000000001</v>
      </c>
      <c r="F143" s="71">
        <f>F144</f>
        <v>20000</v>
      </c>
      <c r="G143" s="71">
        <f>G144</f>
        <v>27011.49</v>
      </c>
      <c r="H143" s="101"/>
    </row>
    <row r="144" spans="1:8" s="70" customFormat="1" x14ac:dyDescent="0.25">
      <c r="A144" s="284">
        <v>3111</v>
      </c>
      <c r="B144" s="285"/>
      <c r="C144" s="285"/>
      <c r="D144" s="78" t="s">
        <v>63</v>
      </c>
      <c r="E144" s="207">
        <f>26865.56*0.9</f>
        <v>24179.004000000001</v>
      </c>
      <c r="F144" s="207">
        <v>20000</v>
      </c>
      <c r="G144" s="207">
        <f>30116.49-3105</f>
        <v>27011.49</v>
      </c>
    </row>
    <row r="145" spans="1:8" x14ac:dyDescent="0.25">
      <c r="A145" s="297">
        <v>312</v>
      </c>
      <c r="B145" s="298"/>
      <c r="C145" s="298"/>
      <c r="D145" s="108" t="s">
        <v>66</v>
      </c>
      <c r="E145" s="222">
        <f>SUM(E146)</f>
        <v>2970</v>
      </c>
      <c r="F145" s="222">
        <f>SUM(F146)</f>
        <v>8600</v>
      </c>
      <c r="G145" s="222">
        <v>2100</v>
      </c>
    </row>
    <row r="146" spans="1:8" x14ac:dyDescent="0.25">
      <c r="A146" s="297">
        <v>3121</v>
      </c>
      <c r="B146" s="298"/>
      <c r="C146" s="298"/>
      <c r="D146" s="108" t="s">
        <v>66</v>
      </c>
      <c r="E146" s="222">
        <f>1350+1620</f>
        <v>2970</v>
      </c>
      <c r="F146" s="222">
        <v>8600</v>
      </c>
      <c r="G146" s="222">
        <v>2100</v>
      </c>
    </row>
    <row r="147" spans="1:8" s="77" customFormat="1" x14ac:dyDescent="0.25">
      <c r="A147" s="276">
        <v>313</v>
      </c>
      <c r="B147" s="277"/>
      <c r="C147" s="277"/>
      <c r="D147" s="214" t="s">
        <v>67</v>
      </c>
      <c r="E147" s="222">
        <f>E148</f>
        <v>3989.547</v>
      </c>
      <c r="F147" s="222">
        <f>F148</f>
        <v>4000</v>
      </c>
      <c r="G147" s="222">
        <f>G148</f>
        <v>4508.6099999999997</v>
      </c>
    </row>
    <row r="148" spans="1:8" s="70" customFormat="1" ht="15" customHeight="1" x14ac:dyDescent="0.25">
      <c r="A148" s="284">
        <v>3132</v>
      </c>
      <c r="B148" s="285"/>
      <c r="C148" s="285"/>
      <c r="D148" s="109" t="s">
        <v>152</v>
      </c>
      <c r="E148" s="207">
        <f>4432.83*0.9</f>
        <v>3989.547</v>
      </c>
      <c r="F148" s="207">
        <v>4000</v>
      </c>
      <c r="G148" s="207">
        <f>5020.96-512.35</f>
        <v>4508.6099999999997</v>
      </c>
    </row>
    <row r="149" spans="1:8" s="77" customFormat="1" x14ac:dyDescent="0.25">
      <c r="A149" s="280">
        <v>32</v>
      </c>
      <c r="B149" s="281"/>
      <c r="C149" s="281"/>
      <c r="D149" s="211" t="s">
        <v>19</v>
      </c>
      <c r="E149" s="71">
        <f t="shared" ref="E149:F149" si="20">E150</f>
        <v>1283.2829999999999</v>
      </c>
      <c r="F149" s="71">
        <f t="shared" si="20"/>
        <v>1200</v>
      </c>
      <c r="G149" s="71">
        <f>G150</f>
        <v>880.43999999999994</v>
      </c>
      <c r="H149" s="101"/>
    </row>
    <row r="150" spans="1:8" s="77" customFormat="1" x14ac:dyDescent="0.25">
      <c r="A150" s="276">
        <v>321</v>
      </c>
      <c r="B150" s="277"/>
      <c r="C150" s="277"/>
      <c r="D150" s="100" t="s">
        <v>153</v>
      </c>
      <c r="E150" s="222">
        <f>E152</f>
        <v>1283.2829999999999</v>
      </c>
      <c r="F150" s="222">
        <f>F152+F151</f>
        <v>1200</v>
      </c>
      <c r="G150" s="222">
        <f>G152+G151</f>
        <v>880.43999999999994</v>
      </c>
    </row>
    <row r="151" spans="1:8" s="70" customFormat="1" x14ac:dyDescent="0.25">
      <c r="A151" s="284">
        <v>3211</v>
      </c>
      <c r="B151" s="285"/>
      <c r="C151" s="285"/>
      <c r="D151" s="104" t="s">
        <v>77</v>
      </c>
      <c r="E151" s="230">
        <v>0</v>
      </c>
      <c r="F151" s="230">
        <v>0</v>
      </c>
      <c r="G151" s="230">
        <v>81</v>
      </c>
    </row>
    <row r="152" spans="1:8" s="70" customFormat="1" ht="26.25" thickBot="1" x14ac:dyDescent="0.3">
      <c r="A152" s="313">
        <v>3212</v>
      </c>
      <c r="B152" s="314"/>
      <c r="C152" s="314"/>
      <c r="D152" s="223" t="s">
        <v>154</v>
      </c>
      <c r="E152" s="228">
        <f>1425.87*0.9</f>
        <v>1283.2829999999999</v>
      </c>
      <c r="F152" s="228">
        <v>1200</v>
      </c>
      <c r="G152" s="228">
        <f>865.68-66.24</f>
        <v>799.43999999999994</v>
      </c>
    </row>
    <row r="153" spans="1:8" s="77" customFormat="1" ht="18.75" thickBot="1" x14ac:dyDescent="0.3">
      <c r="A153" s="21"/>
      <c r="B153" s="21"/>
      <c r="C153" s="21"/>
      <c r="D153" s="21"/>
      <c r="E153" s="105"/>
      <c r="F153" s="107"/>
      <c r="G153" s="107"/>
      <c r="H153" s="101"/>
    </row>
    <row r="154" spans="1:8" s="77" customFormat="1" ht="15.75" thickBot="1" x14ac:dyDescent="0.3">
      <c r="A154" s="299" t="s">
        <v>132</v>
      </c>
      <c r="B154" s="300"/>
      <c r="C154" s="300"/>
      <c r="D154" s="301"/>
      <c r="E154" s="236">
        <f>E155</f>
        <v>2497.91</v>
      </c>
      <c r="F154" s="236">
        <f>F155</f>
        <v>2300</v>
      </c>
      <c r="G154" s="236">
        <f>G155</f>
        <v>2000</v>
      </c>
      <c r="H154" s="101"/>
    </row>
    <row r="155" spans="1:8" s="77" customFormat="1" ht="18" customHeight="1" x14ac:dyDescent="0.25">
      <c r="A155" s="302" t="s">
        <v>98</v>
      </c>
      <c r="B155" s="303"/>
      <c r="C155" s="303"/>
      <c r="D155" s="240" t="s">
        <v>80</v>
      </c>
      <c r="E155" s="239">
        <f t="shared" ref="E155:G155" si="21">E156</f>
        <v>2497.91</v>
      </c>
      <c r="F155" s="239">
        <f t="shared" si="21"/>
        <v>2300</v>
      </c>
      <c r="G155" s="239">
        <f t="shared" si="21"/>
        <v>2000</v>
      </c>
      <c r="H155" s="101"/>
    </row>
    <row r="156" spans="1:8" s="77" customFormat="1" x14ac:dyDescent="0.25">
      <c r="A156" s="278">
        <v>3</v>
      </c>
      <c r="B156" s="279"/>
      <c r="C156" s="279"/>
      <c r="D156" s="123" t="s">
        <v>9</v>
      </c>
      <c r="E156" s="181">
        <f t="shared" ref="E156:G156" si="22">E157</f>
        <v>2497.91</v>
      </c>
      <c r="F156" s="181">
        <f t="shared" si="22"/>
        <v>2300</v>
      </c>
      <c r="G156" s="181">
        <f t="shared" si="22"/>
        <v>2000</v>
      </c>
      <c r="H156" s="101"/>
    </row>
    <row r="157" spans="1:8" s="77" customFormat="1" x14ac:dyDescent="0.25">
      <c r="A157" s="280">
        <v>32</v>
      </c>
      <c r="B157" s="281"/>
      <c r="C157" s="281"/>
      <c r="D157" s="211" t="s">
        <v>19</v>
      </c>
      <c r="E157" s="71">
        <f t="shared" ref="E157:G157" si="23">E158</f>
        <v>2497.91</v>
      </c>
      <c r="F157" s="71">
        <f t="shared" si="23"/>
        <v>2300</v>
      </c>
      <c r="G157" s="71">
        <f t="shared" si="23"/>
        <v>2000</v>
      </c>
      <c r="H157" s="101"/>
    </row>
    <row r="158" spans="1:8" s="77" customFormat="1" x14ac:dyDescent="0.25">
      <c r="A158" s="304">
        <v>322</v>
      </c>
      <c r="B158" s="305"/>
      <c r="C158" s="305"/>
      <c r="D158" s="210" t="s">
        <v>96</v>
      </c>
      <c r="E158" s="88">
        <f t="shared" ref="E158:G158" si="24">E159</f>
        <v>2497.91</v>
      </c>
      <c r="F158" s="88">
        <f t="shared" si="24"/>
        <v>2300</v>
      </c>
      <c r="G158" s="88">
        <f t="shared" si="24"/>
        <v>2000</v>
      </c>
    </row>
    <row r="159" spans="1:8" s="70" customFormat="1" ht="15.75" thickBot="1" x14ac:dyDescent="0.3">
      <c r="A159" s="306">
        <v>3222</v>
      </c>
      <c r="B159" s="307"/>
      <c r="C159" s="307"/>
      <c r="D159" s="183" t="s">
        <v>70</v>
      </c>
      <c r="E159" s="106">
        <f>2497.91</f>
        <v>2497.91</v>
      </c>
      <c r="F159" s="106">
        <v>2300</v>
      </c>
      <c r="G159" s="106">
        <v>2000</v>
      </c>
    </row>
    <row r="160" spans="1:8" ht="18.75" thickBot="1" x14ac:dyDescent="0.3">
      <c r="A160" s="21"/>
      <c r="B160" s="21"/>
      <c r="C160" s="21"/>
      <c r="D160" s="21"/>
      <c r="E160" s="21"/>
      <c r="F160" s="63"/>
      <c r="G160" s="63"/>
      <c r="H160" s="62"/>
    </row>
    <row r="161" spans="1:8" ht="15.75" thickBot="1" x14ac:dyDescent="0.3">
      <c r="A161" s="299" t="s">
        <v>135</v>
      </c>
      <c r="B161" s="300"/>
      <c r="C161" s="300"/>
      <c r="D161" s="301"/>
      <c r="E161" s="236">
        <f>E174+E162</f>
        <v>0</v>
      </c>
      <c r="F161" s="236">
        <f>F174+F162</f>
        <v>0</v>
      </c>
      <c r="G161" s="236">
        <f>G162+G174</f>
        <v>4592.88</v>
      </c>
      <c r="H161" s="62"/>
    </row>
    <row r="162" spans="1:8" x14ac:dyDescent="0.25">
      <c r="A162" s="302" t="s">
        <v>94</v>
      </c>
      <c r="B162" s="303"/>
      <c r="C162" s="303"/>
      <c r="D162" s="238" t="s">
        <v>68</v>
      </c>
      <c r="E162" s="239">
        <f>E163</f>
        <v>0</v>
      </c>
      <c r="F162" s="239">
        <f>F163</f>
        <v>0</v>
      </c>
      <c r="G162" s="239">
        <f>G163</f>
        <v>2296.44</v>
      </c>
      <c r="H162" s="62"/>
    </row>
    <row r="163" spans="1:8" x14ac:dyDescent="0.25">
      <c r="A163" s="278">
        <v>3</v>
      </c>
      <c r="B163" s="279"/>
      <c r="C163" s="279"/>
      <c r="D163" s="123" t="s">
        <v>9</v>
      </c>
      <c r="E163" s="181">
        <f>E164+E171</f>
        <v>0</v>
      </c>
      <c r="F163" s="181">
        <f>F164+F171</f>
        <v>0</v>
      </c>
      <c r="G163" s="181">
        <f>G164+G171</f>
        <v>2296.44</v>
      </c>
      <c r="H163" s="62"/>
    </row>
    <row r="164" spans="1:8" x14ac:dyDescent="0.25">
      <c r="A164" s="280">
        <v>31</v>
      </c>
      <c r="B164" s="281"/>
      <c r="C164" s="281"/>
      <c r="D164" s="211" t="s">
        <v>10</v>
      </c>
      <c r="E164" s="71">
        <f>E165+E169+E167</f>
        <v>0</v>
      </c>
      <c r="F164" s="71">
        <f>F165+F169+F167</f>
        <v>0</v>
      </c>
      <c r="G164" s="71">
        <f>G165+G167+G169</f>
        <v>2259.64</v>
      </c>
    </row>
    <row r="165" spans="1:8" x14ac:dyDescent="0.25">
      <c r="A165" s="292">
        <v>311</v>
      </c>
      <c r="B165" s="293"/>
      <c r="C165" s="294"/>
      <c r="D165" s="214" t="s">
        <v>62</v>
      </c>
      <c r="E165" s="71">
        <f>SUM(E166)</f>
        <v>0</v>
      </c>
      <c r="F165" s="71">
        <f>SUM(F166)</f>
        <v>0</v>
      </c>
      <c r="G165" s="71">
        <f>G166</f>
        <v>1725</v>
      </c>
    </row>
    <row r="166" spans="1:8" x14ac:dyDescent="0.25">
      <c r="A166" s="284">
        <v>3111</v>
      </c>
      <c r="B166" s="285"/>
      <c r="C166" s="285"/>
      <c r="D166" s="78" t="s">
        <v>63</v>
      </c>
      <c r="E166" s="207">
        <v>0</v>
      </c>
      <c r="F166" s="207">
        <v>0</v>
      </c>
      <c r="G166" s="207">
        <f>431.25*4</f>
        <v>1725</v>
      </c>
    </row>
    <row r="167" spans="1:8" x14ac:dyDescent="0.25">
      <c r="A167" s="276">
        <v>312</v>
      </c>
      <c r="B167" s="277"/>
      <c r="C167" s="277"/>
      <c r="D167" s="214" t="s">
        <v>66</v>
      </c>
      <c r="E167" s="222">
        <f>E168</f>
        <v>0</v>
      </c>
      <c r="F167" s="222">
        <f>F168</f>
        <v>0</v>
      </c>
      <c r="G167" s="222">
        <f>G168</f>
        <v>250</v>
      </c>
    </row>
    <row r="168" spans="1:8" x14ac:dyDescent="0.25">
      <c r="A168" s="284">
        <v>3121</v>
      </c>
      <c r="B168" s="285"/>
      <c r="C168" s="285"/>
      <c r="D168" s="109" t="s">
        <v>66</v>
      </c>
      <c r="E168" s="207">
        <v>0</v>
      </c>
      <c r="F168" s="207">
        <v>0</v>
      </c>
      <c r="G168" s="207">
        <v>250</v>
      </c>
    </row>
    <row r="169" spans="1:8" x14ac:dyDescent="0.25">
      <c r="A169" s="276">
        <v>313</v>
      </c>
      <c r="B169" s="277"/>
      <c r="C169" s="277"/>
      <c r="D169" s="214" t="s">
        <v>67</v>
      </c>
      <c r="E169" s="222">
        <f>E170</f>
        <v>0</v>
      </c>
      <c r="F169" s="222">
        <f>F170</f>
        <v>0</v>
      </c>
      <c r="G169" s="222">
        <f>G170</f>
        <v>284.64</v>
      </c>
    </row>
    <row r="170" spans="1:8" ht="15" customHeight="1" x14ac:dyDescent="0.25">
      <c r="A170" s="284">
        <v>3132</v>
      </c>
      <c r="B170" s="285"/>
      <c r="C170" s="285"/>
      <c r="D170" s="109" t="s">
        <v>152</v>
      </c>
      <c r="E170" s="207">
        <v>0</v>
      </c>
      <c r="F170" s="207">
        <v>0</v>
      </c>
      <c r="G170" s="207">
        <f>71.16*4</f>
        <v>284.64</v>
      </c>
    </row>
    <row r="171" spans="1:8" x14ac:dyDescent="0.25">
      <c r="A171" s="280">
        <v>32</v>
      </c>
      <c r="B171" s="281"/>
      <c r="C171" s="281"/>
      <c r="D171" s="211" t="s">
        <v>19</v>
      </c>
      <c r="E171" s="71">
        <f t="shared" ref="E171:F172" si="25">E172</f>
        <v>0</v>
      </c>
      <c r="F171" s="71">
        <f t="shared" si="25"/>
        <v>0</v>
      </c>
      <c r="G171" s="71">
        <f>G172</f>
        <v>36.799999999999997</v>
      </c>
    </row>
    <row r="172" spans="1:8" x14ac:dyDescent="0.25">
      <c r="A172" s="276">
        <v>321</v>
      </c>
      <c r="B172" s="277"/>
      <c r="C172" s="277"/>
      <c r="D172" s="100" t="s">
        <v>153</v>
      </c>
      <c r="E172" s="222">
        <f t="shared" si="25"/>
        <v>0</v>
      </c>
      <c r="F172" s="222">
        <f t="shared" si="25"/>
        <v>0</v>
      </c>
      <c r="G172" s="222">
        <f>G173</f>
        <v>36.799999999999997</v>
      </c>
    </row>
    <row r="173" spans="1:8" ht="25.5" x14ac:dyDescent="0.25">
      <c r="A173" s="284">
        <v>3212</v>
      </c>
      <c r="B173" s="285"/>
      <c r="C173" s="285"/>
      <c r="D173" s="224" t="s">
        <v>154</v>
      </c>
      <c r="E173" s="207">
        <v>0</v>
      </c>
      <c r="F173" s="207">
        <v>0</v>
      </c>
      <c r="G173" s="207">
        <f>9.2*4</f>
        <v>36.799999999999997</v>
      </c>
    </row>
    <row r="174" spans="1:8" x14ac:dyDescent="0.25">
      <c r="A174" s="288" t="s">
        <v>99</v>
      </c>
      <c r="B174" s="289"/>
      <c r="C174" s="289"/>
      <c r="D174" s="18" t="s">
        <v>113</v>
      </c>
      <c r="E174" s="182">
        <f>E175</f>
        <v>0</v>
      </c>
      <c r="F174" s="182">
        <f>F175</f>
        <v>0</v>
      </c>
      <c r="G174" s="182">
        <f>G175</f>
        <v>2296.44</v>
      </c>
    </row>
    <row r="175" spans="1:8" x14ac:dyDescent="0.25">
      <c r="A175" s="278">
        <v>3</v>
      </c>
      <c r="B175" s="279"/>
      <c r="C175" s="279"/>
      <c r="D175" s="123" t="s">
        <v>9</v>
      </c>
      <c r="E175" s="181">
        <f>E176+E183</f>
        <v>0</v>
      </c>
      <c r="F175" s="181">
        <f>F176+F183</f>
        <v>0</v>
      </c>
      <c r="G175" s="181">
        <f>G176+G183</f>
        <v>2296.44</v>
      </c>
    </row>
    <row r="176" spans="1:8" x14ac:dyDescent="0.25">
      <c r="A176" s="280">
        <v>31</v>
      </c>
      <c r="B176" s="281"/>
      <c r="C176" s="281"/>
      <c r="D176" s="211" t="s">
        <v>10</v>
      </c>
      <c r="E176" s="71">
        <f>E177+E181+E179</f>
        <v>0</v>
      </c>
      <c r="F176" s="71">
        <f>F177+F181+F179</f>
        <v>0</v>
      </c>
      <c r="G176" s="71">
        <f>G177+G179+G181</f>
        <v>2259.64</v>
      </c>
    </row>
    <row r="177" spans="1:7" x14ac:dyDescent="0.25">
      <c r="A177" s="292">
        <v>311</v>
      </c>
      <c r="B177" s="293"/>
      <c r="C177" s="294"/>
      <c r="D177" s="214" t="s">
        <v>62</v>
      </c>
      <c r="E177" s="71">
        <f>E178</f>
        <v>0</v>
      </c>
      <c r="F177" s="71">
        <f>F178</f>
        <v>0</v>
      </c>
      <c r="G177" s="71">
        <f>G178</f>
        <v>1725</v>
      </c>
    </row>
    <row r="178" spans="1:7" x14ac:dyDescent="0.25">
      <c r="A178" s="284">
        <v>3111</v>
      </c>
      <c r="B178" s="285"/>
      <c r="C178" s="285"/>
      <c r="D178" s="78" t="s">
        <v>63</v>
      </c>
      <c r="E178" s="207">
        <v>0</v>
      </c>
      <c r="F178" s="207">
        <v>0</v>
      </c>
      <c r="G178" s="207">
        <f>431.25*4</f>
        <v>1725</v>
      </c>
    </row>
    <row r="179" spans="1:7" s="77" customFormat="1" x14ac:dyDescent="0.25">
      <c r="A179" s="295">
        <v>312</v>
      </c>
      <c r="B179" s="296"/>
      <c r="C179" s="296"/>
      <c r="D179" s="108" t="s">
        <v>66</v>
      </c>
      <c r="E179" s="222">
        <f>SUM(E180)</f>
        <v>0</v>
      </c>
      <c r="F179" s="222">
        <f>SUM(F180)</f>
        <v>0</v>
      </c>
      <c r="G179" s="226">
        <f>G180</f>
        <v>250</v>
      </c>
    </row>
    <row r="180" spans="1:7" s="70" customFormat="1" x14ac:dyDescent="0.25">
      <c r="A180" s="297">
        <v>3121</v>
      </c>
      <c r="B180" s="298"/>
      <c r="C180" s="298"/>
      <c r="D180" s="186" t="s">
        <v>66</v>
      </c>
      <c r="E180" s="207">
        <v>0</v>
      </c>
      <c r="F180" s="207">
        <v>0</v>
      </c>
      <c r="G180" s="227">
        <f>250</f>
        <v>250</v>
      </c>
    </row>
    <row r="181" spans="1:7" x14ac:dyDescent="0.25">
      <c r="A181" s="276">
        <v>313</v>
      </c>
      <c r="B181" s="277"/>
      <c r="C181" s="277"/>
      <c r="D181" s="214" t="s">
        <v>67</v>
      </c>
      <c r="E181" s="222">
        <f>E182</f>
        <v>0</v>
      </c>
      <c r="F181" s="222">
        <f>F182</f>
        <v>0</v>
      </c>
      <c r="G181" s="226">
        <f>G182</f>
        <v>284.64</v>
      </c>
    </row>
    <row r="182" spans="1:7" ht="15" customHeight="1" x14ac:dyDescent="0.25">
      <c r="A182" s="284">
        <v>3132</v>
      </c>
      <c r="B182" s="285"/>
      <c r="C182" s="285"/>
      <c r="D182" s="109" t="s">
        <v>152</v>
      </c>
      <c r="E182" s="207">
        <v>0</v>
      </c>
      <c r="F182" s="207">
        <v>0</v>
      </c>
      <c r="G182" s="227">
        <f>71.16*4</f>
        <v>284.64</v>
      </c>
    </row>
    <row r="183" spans="1:7" x14ac:dyDescent="0.25">
      <c r="A183" s="280">
        <v>32</v>
      </c>
      <c r="B183" s="281"/>
      <c r="C183" s="281"/>
      <c r="D183" s="211" t="s">
        <v>19</v>
      </c>
      <c r="E183" s="71">
        <f t="shared" ref="E183:F184" si="26">E184</f>
        <v>0</v>
      </c>
      <c r="F183" s="71">
        <f t="shared" si="26"/>
        <v>0</v>
      </c>
      <c r="G183" s="71">
        <f>G184</f>
        <v>36.799999999999997</v>
      </c>
    </row>
    <row r="184" spans="1:7" x14ac:dyDescent="0.25">
      <c r="A184" s="276">
        <v>321</v>
      </c>
      <c r="B184" s="277"/>
      <c r="C184" s="277"/>
      <c r="D184" s="100" t="s">
        <v>153</v>
      </c>
      <c r="E184" s="222">
        <f t="shared" si="26"/>
        <v>0</v>
      </c>
      <c r="F184" s="222">
        <f t="shared" si="26"/>
        <v>0</v>
      </c>
      <c r="G184" s="226">
        <f>G185</f>
        <v>36.799999999999997</v>
      </c>
    </row>
    <row r="185" spans="1:7" ht="26.25" thickBot="1" x14ac:dyDescent="0.3">
      <c r="A185" s="286">
        <v>3212</v>
      </c>
      <c r="B185" s="287"/>
      <c r="C185" s="287"/>
      <c r="D185" s="223" t="s">
        <v>154</v>
      </c>
      <c r="E185" s="228">
        <v>0</v>
      </c>
      <c r="F185" s="228">
        <v>0</v>
      </c>
      <c r="G185" s="229">
        <f>9.2*4</f>
        <v>36.799999999999997</v>
      </c>
    </row>
  </sheetData>
  <mergeCells count="180">
    <mergeCell ref="E2:F2"/>
    <mergeCell ref="A8:D8"/>
    <mergeCell ref="A92:D92"/>
    <mergeCell ref="A126:D126"/>
    <mergeCell ref="A154:D154"/>
    <mergeCell ref="A47:C47"/>
    <mergeCell ref="A15:C15"/>
    <mergeCell ref="A16:C16"/>
    <mergeCell ref="A145:C145"/>
    <mergeCell ref="A146:C146"/>
    <mergeCell ref="A102:C102"/>
    <mergeCell ref="A130:C130"/>
    <mergeCell ref="A143:C143"/>
    <mergeCell ref="A55:C55"/>
    <mergeCell ref="A27:C27"/>
    <mergeCell ref="A87:C87"/>
    <mergeCell ref="A136:C136"/>
    <mergeCell ref="A140:C140"/>
    <mergeCell ref="A127:C127"/>
    <mergeCell ref="A128:C128"/>
    <mergeCell ref="A129:C129"/>
    <mergeCell ref="A5:C5"/>
    <mergeCell ref="A6:C6"/>
    <mergeCell ref="A7:C7"/>
    <mergeCell ref="A156:C156"/>
    <mergeCell ref="A157:C157"/>
    <mergeCell ref="A155:C155"/>
    <mergeCell ref="A93:C93"/>
    <mergeCell ref="A94:C94"/>
    <mergeCell ref="A141:C141"/>
    <mergeCell ref="A142:C142"/>
    <mergeCell ref="A149:C149"/>
    <mergeCell ref="A150:C150"/>
    <mergeCell ref="A152:C152"/>
    <mergeCell ref="A120:C120"/>
    <mergeCell ref="A109:C109"/>
    <mergeCell ref="A110:C110"/>
    <mergeCell ref="A111:C111"/>
    <mergeCell ref="A112:C112"/>
    <mergeCell ref="A113:C113"/>
    <mergeCell ref="A114:C114"/>
    <mergeCell ref="A95:C95"/>
    <mergeCell ref="A148:C148"/>
    <mergeCell ref="A117:C117"/>
    <mergeCell ref="A116:C116"/>
    <mergeCell ref="A115:C115"/>
    <mergeCell ref="A147:C147"/>
    <mergeCell ref="A132:C132"/>
    <mergeCell ref="A96:C96"/>
    <mergeCell ref="A97:C97"/>
    <mergeCell ref="A98:C98"/>
    <mergeCell ref="A99:C99"/>
    <mergeCell ref="A100:C100"/>
    <mergeCell ref="A1:G1"/>
    <mergeCell ref="A3:G3"/>
    <mergeCell ref="A24:C24"/>
    <mergeCell ref="A25:C25"/>
    <mergeCell ref="A26:C26"/>
    <mergeCell ref="A35:C35"/>
    <mergeCell ref="A48:C48"/>
    <mergeCell ref="A49:C49"/>
    <mergeCell ref="A52:C52"/>
    <mergeCell ref="A28:C28"/>
    <mergeCell ref="A29:C29"/>
    <mergeCell ref="A30:C30"/>
    <mergeCell ref="A31:C31"/>
    <mergeCell ref="A32:C32"/>
    <mergeCell ref="A33:C33"/>
    <mergeCell ref="A34:C34"/>
    <mergeCell ref="A36:C36"/>
    <mergeCell ref="A37:C37"/>
    <mergeCell ref="A50:C50"/>
    <mergeCell ref="A138:C138"/>
    <mergeCell ref="A118:C118"/>
    <mergeCell ref="A77:C77"/>
    <mergeCell ref="A9:C9"/>
    <mergeCell ref="A10:C10"/>
    <mergeCell ref="A11:C11"/>
    <mergeCell ref="A17:C17"/>
    <mergeCell ref="A53:C53"/>
    <mergeCell ref="A54:C54"/>
    <mergeCell ref="A13:C13"/>
    <mergeCell ref="A14:C14"/>
    <mergeCell ref="A18:C18"/>
    <mergeCell ref="A19:C19"/>
    <mergeCell ref="A38:C38"/>
    <mergeCell ref="A39:C39"/>
    <mergeCell ref="A41:C41"/>
    <mergeCell ref="A12:C12"/>
    <mergeCell ref="A51:C51"/>
    <mergeCell ref="A42:C42"/>
    <mergeCell ref="A43:C43"/>
    <mergeCell ref="A44:C44"/>
    <mergeCell ref="A40:C40"/>
    <mergeCell ref="A76:C76"/>
    <mergeCell ref="A64:C64"/>
    <mergeCell ref="A161:D161"/>
    <mergeCell ref="A162:C162"/>
    <mergeCell ref="A101:C101"/>
    <mergeCell ref="A103:C103"/>
    <mergeCell ref="A104:C104"/>
    <mergeCell ref="A105:C105"/>
    <mergeCell ref="A106:C106"/>
    <mergeCell ref="A107:C107"/>
    <mergeCell ref="A108:C108"/>
    <mergeCell ref="A158:C158"/>
    <mergeCell ref="A159:C159"/>
    <mergeCell ref="A151:C151"/>
    <mergeCell ref="A121:C121"/>
    <mergeCell ref="A122:C122"/>
    <mergeCell ref="A123:C123"/>
    <mergeCell ref="A124:C124"/>
    <mergeCell ref="A131:C131"/>
    <mergeCell ref="A134:C134"/>
    <mergeCell ref="A135:C135"/>
    <mergeCell ref="A137:C137"/>
    <mergeCell ref="A139:C139"/>
    <mergeCell ref="A144:C144"/>
    <mergeCell ref="A133:C133"/>
    <mergeCell ref="A119:C119"/>
    <mergeCell ref="A163:C163"/>
    <mergeCell ref="A164:C164"/>
    <mergeCell ref="A165:C165"/>
    <mergeCell ref="A166:C166"/>
    <mergeCell ref="A167:C167"/>
    <mergeCell ref="A168:C168"/>
    <mergeCell ref="A169:C169"/>
    <mergeCell ref="A179:C179"/>
    <mergeCell ref="A180:C180"/>
    <mergeCell ref="A181:C181"/>
    <mergeCell ref="A182:C182"/>
    <mergeCell ref="A183:C183"/>
    <mergeCell ref="A184:C184"/>
    <mergeCell ref="A185:C185"/>
    <mergeCell ref="A170:C170"/>
    <mergeCell ref="A171:C171"/>
    <mergeCell ref="A172:C172"/>
    <mergeCell ref="A173:C173"/>
    <mergeCell ref="A174:C174"/>
    <mergeCell ref="A175:C175"/>
    <mergeCell ref="A176:C176"/>
    <mergeCell ref="A177:C177"/>
    <mergeCell ref="A178:C178"/>
    <mergeCell ref="A90:C90"/>
    <mergeCell ref="A81:C81"/>
    <mergeCell ref="A86:C86"/>
    <mergeCell ref="A88:C88"/>
    <mergeCell ref="A89:C89"/>
    <mergeCell ref="A68:C68"/>
    <mergeCell ref="A67:C67"/>
    <mergeCell ref="A69:C69"/>
    <mergeCell ref="A70:C70"/>
    <mergeCell ref="A73:C73"/>
    <mergeCell ref="A79:C79"/>
    <mergeCell ref="A80:C80"/>
    <mergeCell ref="A72:C72"/>
    <mergeCell ref="A71:C71"/>
    <mergeCell ref="A78:C78"/>
    <mergeCell ref="A45:C45"/>
    <mergeCell ref="A46:C46"/>
    <mergeCell ref="A74:C74"/>
    <mergeCell ref="A75:C75"/>
    <mergeCell ref="A20:C20"/>
    <mergeCell ref="A21:C21"/>
    <mergeCell ref="A22:C22"/>
    <mergeCell ref="A23:C23"/>
    <mergeCell ref="A85:C85"/>
    <mergeCell ref="A84:C84"/>
    <mergeCell ref="A83:C83"/>
    <mergeCell ref="A82:C82"/>
    <mergeCell ref="A65:C65"/>
    <mergeCell ref="A57:C57"/>
    <mergeCell ref="A58:C58"/>
    <mergeCell ref="A59:C59"/>
    <mergeCell ref="A60:C60"/>
    <mergeCell ref="A62:C62"/>
    <mergeCell ref="A63:C63"/>
    <mergeCell ref="A61:C61"/>
    <mergeCell ref="A66:C66"/>
    <mergeCell ref="A56:C56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80" orientation="portrait" r:id="rId1"/>
  <ignoredErrors>
    <ignoredError sqref="E32 E58 E133 E135 E148 F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Admin</cp:lastModifiedBy>
  <cp:lastPrinted>2024-11-22T08:15:13Z</cp:lastPrinted>
  <dcterms:created xsi:type="dcterms:W3CDTF">2022-08-12T12:51:27Z</dcterms:created>
  <dcterms:modified xsi:type="dcterms:W3CDTF">2025-01-07T12:40:28Z</dcterms:modified>
</cp:coreProperties>
</file>