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čunovodstvo\Desktop\Financije2020\FINANCIJSKA IZVJEŠĆA\FINANCIJSKA IZVJEŠĆA 2023\ŠKOLSKI ODBOR 29.12.2023\"/>
    </mc:Choice>
  </mc:AlternateContent>
  <xr:revisionPtr revIDLastSave="0" documentId="13_ncr:1_{28719AF2-1366-4C2D-A9CA-48B17B8DECCA}" xr6:coauthVersionLast="37" xr6:coauthVersionMax="47" xr10:uidLastSave="{00000000-0000-0000-0000-000000000000}"/>
  <bookViews>
    <workbookView xWindow="3510" yWindow="750" windowWidth="21630" windowHeight="1485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8" l="1"/>
  <c r="J33" i="10"/>
  <c r="I33" i="10"/>
  <c r="I239" i="7" l="1"/>
  <c r="H239" i="7"/>
  <c r="F43" i="10"/>
  <c r="F39" i="8" l="1"/>
  <c r="E39" i="8"/>
  <c r="F22" i="8"/>
  <c r="E22" i="8"/>
  <c r="E21" i="8" s="1"/>
  <c r="E20" i="8"/>
  <c r="E19" i="8"/>
  <c r="E17" i="8"/>
  <c r="E16" i="8"/>
  <c r="E14" i="8"/>
  <c r="E12" i="8"/>
  <c r="F21" i="8"/>
  <c r="H18" i="10"/>
  <c r="F97" i="3"/>
  <c r="D148" i="3" l="1"/>
  <c r="D146" i="3"/>
  <c r="D141" i="3"/>
  <c r="E174" i="7"/>
  <c r="E172" i="7"/>
  <c r="E167" i="7"/>
  <c r="E93" i="7"/>
  <c r="E12" i="7"/>
  <c r="E18" i="7"/>
  <c r="D47" i="3"/>
  <c r="F37" i="8" l="1"/>
  <c r="E37" i="8"/>
  <c r="E38" i="8"/>
  <c r="F38" i="8"/>
  <c r="F36" i="8"/>
  <c r="F35" i="8" s="1"/>
  <c r="E36" i="8"/>
  <c r="F34" i="8"/>
  <c r="E34" i="8"/>
  <c r="F33" i="8"/>
  <c r="F32" i="8" s="1"/>
  <c r="E33" i="8"/>
  <c r="E32" i="8" s="1"/>
  <c r="F31" i="8"/>
  <c r="F30" i="8" s="1"/>
  <c r="E31" i="8"/>
  <c r="E30" i="8" s="1"/>
  <c r="F29" i="8"/>
  <c r="F28" i="8" s="1"/>
  <c r="E29" i="8"/>
  <c r="E28" i="8" s="1"/>
  <c r="B33" i="8"/>
  <c r="B37" i="8"/>
  <c r="B28" i="8"/>
  <c r="B36" i="8"/>
  <c r="B34" i="8"/>
  <c r="B31" i="8"/>
  <c r="B30" i="8" s="1"/>
  <c r="B38" i="8"/>
  <c r="B32" i="8"/>
  <c r="C38" i="8"/>
  <c r="C35" i="8"/>
  <c r="C32" i="8"/>
  <c r="C30" i="8"/>
  <c r="D38" i="8"/>
  <c r="D35" i="8"/>
  <c r="D32" i="8"/>
  <c r="D30" i="8"/>
  <c r="D21" i="8"/>
  <c r="B21" i="8"/>
  <c r="B18" i="8"/>
  <c r="B15" i="8"/>
  <c r="B11" i="8"/>
  <c r="B14" i="8"/>
  <c r="B13" i="8" s="1"/>
  <c r="C28" i="8"/>
  <c r="C27" i="8" s="1"/>
  <c r="H25" i="3"/>
  <c r="H23" i="3"/>
  <c r="H22" i="3" s="1"/>
  <c r="H20" i="3"/>
  <c r="H17" i="3"/>
  <c r="H16" i="3" s="1"/>
  <c r="H15" i="3"/>
  <c r="H14" i="3"/>
  <c r="H13" i="3" s="1"/>
  <c r="J18" i="10"/>
  <c r="J19" i="10"/>
  <c r="I18" i="10"/>
  <c r="I19" i="10"/>
  <c r="J15" i="10"/>
  <c r="I15" i="10"/>
  <c r="H19" i="3"/>
  <c r="H18" i="3" s="1"/>
  <c r="H24" i="3"/>
  <c r="G25" i="3"/>
  <c r="G24" i="3" s="1"/>
  <c r="G22" i="3"/>
  <c r="G23" i="3"/>
  <c r="G20" i="3"/>
  <c r="G19" i="3" s="1"/>
  <c r="G18" i="3" s="1"/>
  <c r="G14" i="3"/>
  <c r="G15" i="3"/>
  <c r="G17" i="3"/>
  <c r="G16" i="3" s="1"/>
  <c r="F12" i="8"/>
  <c r="F11" i="8" s="1"/>
  <c r="F14" i="8"/>
  <c r="F13" i="8" s="1"/>
  <c r="F16" i="8"/>
  <c r="F17" i="8"/>
  <c r="F19" i="8"/>
  <c r="F20" i="8"/>
  <c r="E18" i="8"/>
  <c r="E11" i="8"/>
  <c r="E15" i="8"/>
  <c r="E13" i="8"/>
  <c r="F13" i="5"/>
  <c r="F14" i="5"/>
  <c r="E14" i="5"/>
  <c r="E13" i="5"/>
  <c r="D12" i="5"/>
  <c r="F12" i="5" s="1"/>
  <c r="F28" i="3"/>
  <c r="E27" i="3"/>
  <c r="E26" i="3" s="1"/>
  <c r="E28" i="3"/>
  <c r="D28" i="3"/>
  <c r="D27" i="3" s="1"/>
  <c r="D26" i="3" s="1"/>
  <c r="F22" i="3"/>
  <c r="F24" i="3"/>
  <c r="E22" i="3"/>
  <c r="E24" i="3"/>
  <c r="D22" i="3"/>
  <c r="D24" i="3"/>
  <c r="F18" i="3"/>
  <c r="F19" i="3"/>
  <c r="E19" i="3"/>
  <c r="E18" i="3" s="1"/>
  <c r="D18" i="3"/>
  <c r="D19" i="3"/>
  <c r="F13" i="3"/>
  <c r="F16" i="3"/>
  <c r="E13" i="3"/>
  <c r="E12" i="3" s="1"/>
  <c r="E16" i="3"/>
  <c r="D13" i="3"/>
  <c r="D16" i="3"/>
  <c r="D12" i="3" s="1"/>
  <c r="E12" i="5" l="1"/>
  <c r="F11" i="5" s="1"/>
  <c r="F10" i="5" s="1"/>
  <c r="D21" i="3"/>
  <c r="F21" i="3"/>
  <c r="E10" i="8"/>
  <c r="F15" i="8"/>
  <c r="E35" i="8"/>
  <c r="E27" i="8" s="1"/>
  <c r="D11" i="3"/>
  <c r="D10" i="3" s="1"/>
  <c r="G21" i="3"/>
  <c r="F27" i="8"/>
  <c r="F12" i="3"/>
  <c r="G13" i="3"/>
  <c r="G12" i="3" s="1"/>
  <c r="H28" i="3"/>
  <c r="H27" i="3" s="1"/>
  <c r="H26" i="3" s="1"/>
  <c r="G28" i="3"/>
  <c r="G27" i="3" s="1"/>
  <c r="G26" i="3" s="1"/>
  <c r="G11" i="3" s="1"/>
  <c r="G10" i="3" s="1"/>
  <c r="F27" i="3"/>
  <c r="F26" i="3" s="1"/>
  <c r="E21" i="3"/>
  <c r="E11" i="3" s="1"/>
  <c r="E10" i="3" s="1"/>
  <c r="H12" i="3"/>
  <c r="H21" i="3"/>
  <c r="H11" i="3" s="1"/>
  <c r="H10" i="3" s="1"/>
  <c r="B10" i="8"/>
  <c r="F18" i="8"/>
  <c r="E11" i="5" l="1"/>
  <c r="E10" i="5" s="1"/>
  <c r="F10" i="8"/>
  <c r="F11" i="3"/>
  <c r="F10" i="3" s="1"/>
  <c r="B35" i="8"/>
  <c r="B27" i="8" s="1"/>
  <c r="G165" i="7" l="1"/>
  <c r="G197" i="7"/>
  <c r="G175" i="7"/>
  <c r="G58" i="7"/>
  <c r="G52" i="7"/>
  <c r="I238" i="7"/>
  <c r="H238" i="7"/>
  <c r="G238" i="7"/>
  <c r="F238" i="7"/>
  <c r="E238" i="7"/>
  <c r="G234" i="7"/>
  <c r="G233" i="7" s="1"/>
  <c r="G232" i="7" s="1"/>
  <c r="G231" i="7" s="1"/>
  <c r="F234" i="7"/>
  <c r="F233" i="7" s="1"/>
  <c r="F232" i="7" s="1"/>
  <c r="F231" i="7" s="1"/>
  <c r="E234" i="7"/>
  <c r="E233" i="7" s="1"/>
  <c r="E232" i="7" s="1"/>
  <c r="E231" i="7" s="1"/>
  <c r="I233" i="7"/>
  <c r="I232" i="7" s="1"/>
  <c r="I231" i="7" s="1"/>
  <c r="H233" i="7"/>
  <c r="H232" i="7" s="1"/>
  <c r="H231" i="7" s="1"/>
  <c r="E224" i="7"/>
  <c r="E223" i="7" s="1"/>
  <c r="E222" i="7" s="1"/>
  <c r="E221" i="7" s="1"/>
  <c r="G223" i="7"/>
  <c r="F223" i="7"/>
  <c r="F222" i="7" s="1"/>
  <c r="F221" i="7" s="1"/>
  <c r="I222" i="7"/>
  <c r="I221" i="7" s="1"/>
  <c r="H222" i="7"/>
  <c r="H221" i="7" s="1"/>
  <c r="G222" i="7"/>
  <c r="G221" i="7" s="1"/>
  <c r="E220" i="7"/>
  <c r="E219" i="7" s="1"/>
  <c r="E218" i="7" s="1"/>
  <c r="E217" i="7" s="1"/>
  <c r="I219" i="7"/>
  <c r="H219" i="7"/>
  <c r="G219" i="7"/>
  <c r="G218" i="7" s="1"/>
  <c r="I218" i="7" s="1"/>
  <c r="F219" i="7"/>
  <c r="F218" i="7" s="1"/>
  <c r="F217" i="7" s="1"/>
  <c r="E216" i="7"/>
  <c r="E215" i="7"/>
  <c r="E214" i="7"/>
  <c r="G213" i="7"/>
  <c r="F213" i="7"/>
  <c r="E212" i="7"/>
  <c r="E211" i="7"/>
  <c r="E210" i="7"/>
  <c r="E209" i="7"/>
  <c r="E208" i="7"/>
  <c r="E207" i="7"/>
  <c r="E206" i="7"/>
  <c r="E205" i="7"/>
  <c r="G204" i="7"/>
  <c r="F204" i="7"/>
  <c r="E203" i="7"/>
  <c r="E202" i="7"/>
  <c r="E201" i="7"/>
  <c r="E200" i="7"/>
  <c r="E199" i="7"/>
  <c r="E198" i="7"/>
  <c r="F197" i="7"/>
  <c r="E196" i="7"/>
  <c r="E195" i="7"/>
  <c r="E194" i="7"/>
  <c r="F193" i="7"/>
  <c r="E186" i="7"/>
  <c r="E185" i="7" s="1"/>
  <c r="G185" i="7"/>
  <c r="F185" i="7"/>
  <c r="G182" i="7"/>
  <c r="F182" i="7"/>
  <c r="E182" i="7"/>
  <c r="E178" i="7"/>
  <c r="E177" i="7"/>
  <c r="E176" i="7"/>
  <c r="F175" i="7"/>
  <c r="E173" i="7"/>
  <c r="E171" i="7"/>
  <c r="G170" i="7"/>
  <c r="F170" i="7"/>
  <c r="E166" i="7"/>
  <c r="E165" i="7" s="1"/>
  <c r="F165" i="7"/>
  <c r="E164" i="7"/>
  <c r="E163" i="7" s="1"/>
  <c r="G163" i="7"/>
  <c r="F163" i="7"/>
  <c r="E156" i="7"/>
  <c r="E155" i="7" s="1"/>
  <c r="G155" i="7"/>
  <c r="F155" i="7"/>
  <c r="E154" i="7"/>
  <c r="E153" i="7" s="1"/>
  <c r="G153" i="7"/>
  <c r="F153" i="7"/>
  <c r="E149" i="7"/>
  <c r="E148" i="7" s="1"/>
  <c r="G148" i="7"/>
  <c r="F148" i="7"/>
  <c r="E141" i="7"/>
  <c r="E140" i="7" s="1"/>
  <c r="G140" i="7"/>
  <c r="G139" i="7" s="1"/>
  <c r="F140" i="7"/>
  <c r="F139" i="7" s="1"/>
  <c r="F138" i="7" s="1"/>
  <c r="E139" i="7"/>
  <c r="E138" i="7" s="1"/>
  <c r="E137" i="7"/>
  <c r="E136" i="7" s="1"/>
  <c r="G136" i="7"/>
  <c r="F136" i="7"/>
  <c r="F135" i="7" s="1"/>
  <c r="I135" i="7"/>
  <c r="H135" i="7"/>
  <c r="G135" i="7"/>
  <c r="E135" i="7"/>
  <c r="E134" i="7"/>
  <c r="E133" i="7" s="1"/>
  <c r="E132" i="7" s="1"/>
  <c r="G133" i="7"/>
  <c r="G132" i="7" s="1"/>
  <c r="F133" i="7"/>
  <c r="F132" i="7" s="1"/>
  <c r="I132" i="7"/>
  <c r="H132" i="7"/>
  <c r="E131" i="7"/>
  <c r="E130" i="7"/>
  <c r="G129" i="7"/>
  <c r="F129" i="7"/>
  <c r="E127" i="7"/>
  <c r="E126" i="7" s="1"/>
  <c r="G126" i="7"/>
  <c r="F126" i="7"/>
  <c r="G123" i="7"/>
  <c r="F123" i="7"/>
  <c r="E123" i="7"/>
  <c r="E122" i="7"/>
  <c r="E121" i="7" s="1"/>
  <c r="G121" i="7"/>
  <c r="F121" i="7"/>
  <c r="E116" i="7"/>
  <c r="E115" i="7"/>
  <c r="G114" i="7"/>
  <c r="F114" i="7"/>
  <c r="E113" i="7"/>
  <c r="E112" i="7" s="1"/>
  <c r="G112" i="7"/>
  <c r="F112" i="7"/>
  <c r="E111" i="7"/>
  <c r="E110" i="7"/>
  <c r="E109" i="7"/>
  <c r="E108" i="7"/>
  <c r="G107" i="7"/>
  <c r="F107" i="7"/>
  <c r="E100" i="7"/>
  <c r="E99" i="7" s="1"/>
  <c r="E98" i="7" s="1"/>
  <c r="E97" i="7" s="1"/>
  <c r="E96" i="7" s="1"/>
  <c r="F99" i="7"/>
  <c r="F98" i="7" s="1"/>
  <c r="F97" i="7" s="1"/>
  <c r="F96" i="7" s="1"/>
  <c r="G98" i="7"/>
  <c r="G97" i="7" s="1"/>
  <c r="G96" i="7" s="1"/>
  <c r="I97" i="7"/>
  <c r="I96" i="7" s="1"/>
  <c r="H97" i="7"/>
  <c r="H96" i="7" s="1"/>
  <c r="E92" i="7"/>
  <c r="E91" i="7" s="1"/>
  <c r="E90" i="7" s="1"/>
  <c r="G92" i="7"/>
  <c r="G91" i="7" s="1"/>
  <c r="F92" i="7"/>
  <c r="F91" i="7" s="1"/>
  <c r="F90" i="7" s="1"/>
  <c r="F89" i="7" s="1"/>
  <c r="G85" i="7"/>
  <c r="F85" i="7"/>
  <c r="E84" i="7"/>
  <c r="E83" i="7" s="1"/>
  <c r="E82" i="7" s="1"/>
  <c r="E81" i="7" s="1"/>
  <c r="E80" i="7" s="1"/>
  <c r="G83" i="7"/>
  <c r="F83" i="7"/>
  <c r="E77" i="7"/>
  <c r="E76" i="7" s="1"/>
  <c r="G76" i="7"/>
  <c r="F76" i="7"/>
  <c r="E75" i="7"/>
  <c r="E74" i="7" s="1"/>
  <c r="G74" i="7"/>
  <c r="F74" i="7"/>
  <c r="E73" i="7"/>
  <c r="E72" i="7" s="1"/>
  <c r="G72" i="7"/>
  <c r="F72" i="7"/>
  <c r="F71" i="7" s="1"/>
  <c r="F70" i="7" s="1"/>
  <c r="G65" i="7"/>
  <c r="G64" i="7" s="1"/>
  <c r="G63" i="7" s="1"/>
  <c r="F65" i="7"/>
  <c r="F64" i="7" s="1"/>
  <c r="F63" i="7" s="1"/>
  <c r="E65" i="7"/>
  <c r="E64" i="7" s="1"/>
  <c r="E63" i="7" s="1"/>
  <c r="I63" i="7"/>
  <c r="H63" i="7"/>
  <c r="E62" i="7"/>
  <c r="E61" i="7" s="1"/>
  <c r="E51" i="7" s="1"/>
  <c r="G61" i="7"/>
  <c r="F61" i="7"/>
  <c r="F58" i="7"/>
  <c r="F52" i="7"/>
  <c r="E48" i="7"/>
  <c r="E47" i="7" s="1"/>
  <c r="G47" i="7"/>
  <c r="F47" i="7"/>
  <c r="E46" i="7"/>
  <c r="E45" i="7"/>
  <c r="G44" i="7"/>
  <c r="G43" i="7" s="1"/>
  <c r="F44" i="7"/>
  <c r="E37" i="7"/>
  <c r="E36" i="7" s="1"/>
  <c r="G36" i="7"/>
  <c r="F36" i="7"/>
  <c r="G34" i="7"/>
  <c r="F34" i="7"/>
  <c r="E34" i="7"/>
  <c r="E31" i="7"/>
  <c r="E30" i="7" s="1"/>
  <c r="G30" i="7"/>
  <c r="F30" i="7"/>
  <c r="H28" i="7"/>
  <c r="G24" i="7"/>
  <c r="F24" i="7"/>
  <c r="E24" i="7"/>
  <c r="G22" i="7"/>
  <c r="F22" i="7"/>
  <c r="E22" i="7"/>
  <c r="E17" i="7"/>
  <c r="G17" i="7"/>
  <c r="F17" i="7"/>
  <c r="E16" i="7"/>
  <c r="E15" i="7" s="1"/>
  <c r="G15" i="7"/>
  <c r="F15" i="7"/>
  <c r="E13" i="7"/>
  <c r="E11" i="7" s="1"/>
  <c r="G11" i="7"/>
  <c r="F11" i="7"/>
  <c r="D11" i="5"/>
  <c r="D10" i="5" s="1"/>
  <c r="C12" i="5"/>
  <c r="C11" i="5" s="1"/>
  <c r="C10" i="5" s="1"/>
  <c r="B12" i="5"/>
  <c r="B11" i="5" s="1"/>
  <c r="B10" i="5" s="1"/>
  <c r="D28" i="8"/>
  <c r="D27" i="8" s="1"/>
  <c r="D18" i="8"/>
  <c r="D15" i="8"/>
  <c r="D13" i="8"/>
  <c r="D11" i="8"/>
  <c r="C18" i="8"/>
  <c r="C15" i="8"/>
  <c r="C13" i="8"/>
  <c r="C11" i="8"/>
  <c r="G71" i="7" l="1"/>
  <c r="E71" i="7"/>
  <c r="G29" i="7"/>
  <c r="G28" i="7" s="1"/>
  <c r="E129" i="7"/>
  <c r="E120" i="7" s="1"/>
  <c r="E119" i="7" s="1"/>
  <c r="G82" i="7"/>
  <c r="G81" i="7" s="1"/>
  <c r="G80" i="7" s="1"/>
  <c r="E10" i="7"/>
  <c r="E70" i="7"/>
  <c r="F147" i="7"/>
  <c r="F146" i="7" s="1"/>
  <c r="G181" i="7"/>
  <c r="I181" i="7" s="1"/>
  <c r="I180" i="7" s="1"/>
  <c r="E204" i="7"/>
  <c r="E69" i="7"/>
  <c r="D10" i="8"/>
  <c r="C10" i="8"/>
  <c r="G10" i="7"/>
  <c r="I10" i="7" s="1"/>
  <c r="G147" i="7"/>
  <c r="G146" i="7" s="1"/>
  <c r="E170" i="7"/>
  <c r="I43" i="7"/>
  <c r="H43" i="7"/>
  <c r="H91" i="7"/>
  <c r="H90" i="7" s="1"/>
  <c r="H89" i="7" s="1"/>
  <c r="I91" i="7"/>
  <c r="I90" i="7" s="1"/>
  <c r="I89" i="7" s="1"/>
  <c r="I139" i="7"/>
  <c r="I138" i="7" s="1"/>
  <c r="H139" i="7"/>
  <c r="H138" i="7" s="1"/>
  <c r="E147" i="7"/>
  <c r="E146" i="7" s="1"/>
  <c r="F162" i="7"/>
  <c r="F161" i="7" s="1"/>
  <c r="H71" i="7"/>
  <c r="H70" i="7" s="1"/>
  <c r="I71" i="7"/>
  <c r="I70" i="7" s="1"/>
  <c r="G70" i="7"/>
  <c r="G90" i="7"/>
  <c r="G89" i="7" s="1"/>
  <c r="G138" i="7"/>
  <c r="G217" i="7"/>
  <c r="H218" i="7"/>
  <c r="H217" i="7" s="1"/>
  <c r="I217" i="7"/>
  <c r="E89" i="7"/>
  <c r="E21" i="7"/>
  <c r="E9" i="7" s="1"/>
  <c r="G21" i="7"/>
  <c r="E114" i="7"/>
  <c r="G162" i="7"/>
  <c r="I162" i="7" s="1"/>
  <c r="E197" i="7"/>
  <c r="F10" i="7"/>
  <c r="E181" i="7"/>
  <c r="E180" i="7" s="1"/>
  <c r="F21" i="7"/>
  <c r="G51" i="7"/>
  <c r="I51" i="7" s="1"/>
  <c r="G192" i="7"/>
  <c r="I192" i="7" s="1"/>
  <c r="G120" i="7"/>
  <c r="F29" i="7"/>
  <c r="F28" i="7" s="1"/>
  <c r="E29" i="7"/>
  <c r="E28" i="7" s="1"/>
  <c r="F43" i="7"/>
  <c r="E44" i="7"/>
  <c r="E43" i="7" s="1"/>
  <c r="E42" i="7" s="1"/>
  <c r="E41" i="7" s="1"/>
  <c r="F82" i="7"/>
  <c r="F81" i="7" s="1"/>
  <c r="F69" i="7" s="1"/>
  <c r="F106" i="7"/>
  <c r="F105" i="7" s="1"/>
  <c r="E107" i="7"/>
  <c r="G106" i="7"/>
  <c r="F120" i="7"/>
  <c r="F119" i="7" s="1"/>
  <c r="E175" i="7"/>
  <c r="F181" i="7"/>
  <c r="F180" i="7" s="1"/>
  <c r="F192" i="7"/>
  <c r="F191" i="7" s="1"/>
  <c r="F190" i="7" s="1"/>
  <c r="E193" i="7"/>
  <c r="E213" i="7"/>
  <c r="F51" i="7"/>
  <c r="F73" i="3"/>
  <c r="H228" i="3"/>
  <c r="G228" i="3"/>
  <c r="F228" i="3"/>
  <c r="E228" i="3"/>
  <c r="H227" i="3"/>
  <c r="G227" i="3"/>
  <c r="F227" i="3"/>
  <c r="D227" i="3"/>
  <c r="D221" i="3"/>
  <c r="D220" i="3" s="1"/>
  <c r="D219" i="3" s="1"/>
  <c r="H220" i="3"/>
  <c r="G220" i="3"/>
  <c r="G219" i="3" s="1"/>
  <c r="G218" i="3" s="1"/>
  <c r="F220" i="3"/>
  <c r="F219" i="3" s="1"/>
  <c r="F218" i="3" s="1"/>
  <c r="E220" i="3"/>
  <c r="E219" i="3" s="1"/>
  <c r="E218" i="3" s="1"/>
  <c r="H219" i="3"/>
  <c r="H218" i="3" s="1"/>
  <c r="D214" i="3"/>
  <c r="D213" i="3" s="1"/>
  <c r="D212" i="3" s="1"/>
  <c r="D216" i="3" s="1"/>
  <c r="F213" i="3"/>
  <c r="F212" i="3" s="1"/>
  <c r="E213" i="3"/>
  <c r="E212" i="3" s="1"/>
  <c r="D209" i="3"/>
  <c r="D208" i="3"/>
  <c r="D207" i="3"/>
  <c r="F206" i="3"/>
  <c r="E206" i="3"/>
  <c r="D205" i="3"/>
  <c r="D204" i="3"/>
  <c r="D203" i="3"/>
  <c r="D202" i="3"/>
  <c r="D201" i="3"/>
  <c r="D200" i="3"/>
  <c r="D199" i="3"/>
  <c r="D198" i="3"/>
  <c r="F197" i="3"/>
  <c r="E197" i="3"/>
  <c r="D196" i="3"/>
  <c r="D195" i="3"/>
  <c r="D194" i="3"/>
  <c r="D193" i="3"/>
  <c r="D192" i="3"/>
  <c r="D191" i="3"/>
  <c r="F190" i="3"/>
  <c r="E190" i="3"/>
  <c r="D189" i="3"/>
  <c r="D188" i="3"/>
  <c r="D187" i="3"/>
  <c r="D186" i="3"/>
  <c r="D185" i="3" s="1"/>
  <c r="F185" i="3"/>
  <c r="E185" i="3"/>
  <c r="D180" i="3"/>
  <c r="D179" i="3" s="1"/>
  <c r="F179" i="3"/>
  <c r="E179" i="3"/>
  <c r="D178" i="3"/>
  <c r="D177" i="3" s="1"/>
  <c r="F177" i="3"/>
  <c r="E177" i="3"/>
  <c r="D173" i="3"/>
  <c r="D172" i="3" s="1"/>
  <c r="F172" i="3"/>
  <c r="E172" i="3"/>
  <c r="D171" i="3"/>
  <c r="D170" i="3" s="1"/>
  <c r="F170" i="3"/>
  <c r="E170" i="3"/>
  <c r="D167" i="3"/>
  <c r="D166" i="3" s="1"/>
  <c r="F166" i="3"/>
  <c r="E166" i="3"/>
  <c r="D161" i="3"/>
  <c r="D160" i="3" s="1"/>
  <c r="D156" i="3" s="1"/>
  <c r="D162" i="3" s="1"/>
  <c r="H160" i="3"/>
  <c r="G160" i="3"/>
  <c r="F160" i="3"/>
  <c r="E160" i="3"/>
  <c r="H157" i="3"/>
  <c r="G157" i="3"/>
  <c r="F157" i="3"/>
  <c r="E157" i="3"/>
  <c r="D151" i="3"/>
  <c r="D150" i="3"/>
  <c r="F149" i="3"/>
  <c r="E149" i="3"/>
  <c r="D147" i="3"/>
  <c r="F145" i="3"/>
  <c r="E145" i="3"/>
  <c r="D140" i="3"/>
  <c r="F139" i="3"/>
  <c r="E139" i="3"/>
  <c r="D138" i="3"/>
  <c r="D137" i="3" s="1"/>
  <c r="F137" i="3"/>
  <c r="E137" i="3"/>
  <c r="D133" i="3"/>
  <c r="D132" i="3" s="1"/>
  <c r="F132" i="3"/>
  <c r="E132" i="3"/>
  <c r="D131" i="3"/>
  <c r="D130" i="3" s="1"/>
  <c r="F130" i="3"/>
  <c r="E130" i="3"/>
  <c r="D128" i="3"/>
  <c r="D127" i="3" s="1"/>
  <c r="F127" i="3"/>
  <c r="E127" i="3"/>
  <c r="D122" i="3"/>
  <c r="D121" i="3" s="1"/>
  <c r="D120" i="3" s="1"/>
  <c r="D119" i="3" s="1"/>
  <c r="F121" i="3"/>
  <c r="F120" i="3" s="1"/>
  <c r="E121" i="3"/>
  <c r="E120" i="3" s="1"/>
  <c r="E119" i="3" s="1"/>
  <c r="F119" i="3"/>
  <c r="F123" i="3" s="1"/>
  <c r="D116" i="3"/>
  <c r="D115" i="3" s="1"/>
  <c r="D114" i="3" s="1"/>
  <c r="D117" i="3" s="1"/>
  <c r="H115" i="3"/>
  <c r="G115" i="3"/>
  <c r="G114" i="3" s="1"/>
  <c r="F115" i="3"/>
  <c r="F114" i="3" s="1"/>
  <c r="E115" i="3"/>
  <c r="E114" i="3" s="1"/>
  <c r="H114" i="3"/>
  <c r="D112" i="3"/>
  <c r="D111" i="3" s="1"/>
  <c r="D110" i="3" s="1"/>
  <c r="H111" i="3"/>
  <c r="G111" i="3"/>
  <c r="G110" i="3" s="1"/>
  <c r="F111" i="3"/>
  <c r="F110" i="3" s="1"/>
  <c r="E111" i="3"/>
  <c r="E110" i="3" s="1"/>
  <c r="H110" i="3"/>
  <c r="D107" i="3"/>
  <c r="D106" i="3"/>
  <c r="E105" i="3"/>
  <c r="D103" i="3"/>
  <c r="D102" i="3" s="1"/>
  <c r="F102" i="3"/>
  <c r="F96" i="3" s="1"/>
  <c r="E102" i="3"/>
  <c r="E99" i="3"/>
  <c r="D98" i="3"/>
  <c r="D97" i="3" s="1"/>
  <c r="E97" i="3"/>
  <c r="D93" i="3"/>
  <c r="D92" i="3"/>
  <c r="F91" i="3"/>
  <c r="E91" i="3"/>
  <c r="D90" i="3"/>
  <c r="D89" i="3" s="1"/>
  <c r="F89" i="3"/>
  <c r="E89" i="3"/>
  <c r="D88" i="3"/>
  <c r="D87" i="3"/>
  <c r="D86" i="3"/>
  <c r="D85" i="3"/>
  <c r="F84" i="3"/>
  <c r="E84" i="3"/>
  <c r="D78" i="3"/>
  <c r="F77" i="3"/>
  <c r="D77" i="3"/>
  <c r="E73" i="3"/>
  <c r="F67" i="3"/>
  <c r="E67" i="3"/>
  <c r="E66" i="3" s="1"/>
  <c r="D67" i="3"/>
  <c r="D66" i="3" s="1"/>
  <c r="D79" i="3" s="1"/>
  <c r="D63" i="3"/>
  <c r="D62" i="3" s="1"/>
  <c r="F62" i="3"/>
  <c r="E62" i="3"/>
  <c r="D61" i="3"/>
  <c r="D60" i="3"/>
  <c r="F59" i="3"/>
  <c r="F58" i="3" s="1"/>
  <c r="E59" i="3"/>
  <c r="E58" i="3" s="1"/>
  <c r="F53" i="3"/>
  <c r="E53" i="3"/>
  <c r="D53" i="3"/>
  <c r="F51" i="3"/>
  <c r="E51" i="3"/>
  <c r="D51" i="3"/>
  <c r="D46" i="3"/>
  <c r="F46" i="3"/>
  <c r="E46" i="3"/>
  <c r="D45" i="3"/>
  <c r="D44" i="3" s="1"/>
  <c r="F44" i="3"/>
  <c r="E44" i="3"/>
  <c r="D42" i="3"/>
  <c r="D41" i="3"/>
  <c r="F40" i="3"/>
  <c r="E40" i="3"/>
  <c r="H181" i="7" l="1"/>
  <c r="H180" i="7" s="1"/>
  <c r="I82" i="7"/>
  <c r="I81" i="7" s="1"/>
  <c r="I80" i="7" s="1"/>
  <c r="H82" i="7"/>
  <c r="H81" i="7" s="1"/>
  <c r="H80" i="7" s="1"/>
  <c r="F104" i="7"/>
  <c r="F9" i="7"/>
  <c r="F8" i="7" s="1"/>
  <c r="I147" i="7"/>
  <c r="I146" i="7" s="1"/>
  <c r="H147" i="7"/>
  <c r="H146" i="7" s="1"/>
  <c r="H10" i="7"/>
  <c r="G180" i="7"/>
  <c r="E106" i="7"/>
  <c r="E105" i="7" s="1"/>
  <c r="E104" i="7" s="1"/>
  <c r="G42" i="7"/>
  <c r="G41" i="7" s="1"/>
  <c r="H69" i="7"/>
  <c r="F66" i="3"/>
  <c r="F57" i="3" s="1"/>
  <c r="E162" i="7"/>
  <c r="E161" i="7" s="1"/>
  <c r="E160" i="7" s="1"/>
  <c r="F145" i="7"/>
  <c r="F184" i="3"/>
  <c r="G69" i="7"/>
  <c r="E192" i="7"/>
  <c r="E191" i="7" s="1"/>
  <c r="E190" i="7" s="1"/>
  <c r="E8" i="7"/>
  <c r="I106" i="7"/>
  <c r="I105" i="7" s="1"/>
  <c r="H106" i="7"/>
  <c r="H105" i="7" s="1"/>
  <c r="H120" i="7"/>
  <c r="H119" i="7" s="1"/>
  <c r="I120" i="7"/>
  <c r="I119" i="7" s="1"/>
  <c r="I21" i="7"/>
  <c r="I9" i="7" s="1"/>
  <c r="I8" i="7" s="1"/>
  <c r="H21" i="7"/>
  <c r="G119" i="7"/>
  <c r="H192" i="7"/>
  <c r="G161" i="7"/>
  <c r="G145" i="7" s="1"/>
  <c r="H162" i="7"/>
  <c r="H161" i="7" s="1"/>
  <c r="I161" i="7"/>
  <c r="H191" i="7"/>
  <c r="H190" i="7" s="1"/>
  <c r="F42" i="7"/>
  <c r="F41" i="7" s="1"/>
  <c r="G105" i="7"/>
  <c r="H51" i="7"/>
  <c r="I42" i="7"/>
  <c r="I41" i="7" s="1"/>
  <c r="G9" i="7"/>
  <c r="G8" i="7" s="1"/>
  <c r="I191" i="7"/>
  <c r="I190" i="7" s="1"/>
  <c r="H42" i="7"/>
  <c r="H41" i="7" s="1"/>
  <c r="F216" i="3"/>
  <c r="G212" i="3"/>
  <c r="G216" i="3" s="1"/>
  <c r="H212" i="3"/>
  <c r="H216" i="3" s="1"/>
  <c r="F64" i="3"/>
  <c r="G58" i="3"/>
  <c r="H58" i="3"/>
  <c r="H120" i="3"/>
  <c r="G120" i="3"/>
  <c r="H184" i="3"/>
  <c r="G184" i="3"/>
  <c r="E126" i="3"/>
  <c r="F39" i="3"/>
  <c r="F48" i="3" s="1"/>
  <c r="D59" i="3"/>
  <c r="D58" i="3" s="1"/>
  <c r="D57" i="3" s="1"/>
  <c r="E176" i="3"/>
  <c r="D176" i="3"/>
  <c r="D181" i="3" s="1"/>
  <c r="F183" i="3"/>
  <c r="G191" i="7"/>
  <c r="G190" i="7" s="1"/>
  <c r="F80" i="7"/>
  <c r="F160" i="7"/>
  <c r="D84" i="3"/>
  <c r="F126" i="3"/>
  <c r="E136" i="3"/>
  <c r="E153" i="3" s="1"/>
  <c r="E156" i="3"/>
  <c r="E155" i="3" s="1"/>
  <c r="E50" i="3"/>
  <c r="F165" i="3"/>
  <c r="F164" i="3" s="1"/>
  <c r="D126" i="3"/>
  <c r="D134" i="3" s="1"/>
  <c r="F210" i="3"/>
  <c r="D91" i="3"/>
  <c r="D105" i="3"/>
  <c r="D96" i="3" s="1"/>
  <c r="D108" i="3" s="1"/>
  <c r="D139" i="3"/>
  <c r="D145" i="3"/>
  <c r="E184" i="3"/>
  <c r="E183" i="3" s="1"/>
  <c r="D197" i="3"/>
  <c r="D206" i="3"/>
  <c r="F176" i="3"/>
  <c r="E39" i="3"/>
  <c r="E38" i="3" s="1"/>
  <c r="D40" i="3"/>
  <c r="D39" i="3" s="1"/>
  <c r="D50" i="3"/>
  <c r="F50" i="3"/>
  <c r="F136" i="3"/>
  <c r="D155" i="3"/>
  <c r="D190" i="3"/>
  <c r="F156" i="3"/>
  <c r="D165" i="3"/>
  <c r="D164" i="3" s="1"/>
  <c r="E83" i="3"/>
  <c r="D149" i="3"/>
  <c r="E96" i="3"/>
  <c r="F83" i="3"/>
  <c r="D113" i="3"/>
  <c r="E165" i="3"/>
  <c r="E164" i="3" s="1"/>
  <c r="D123" i="3"/>
  <c r="E57" i="3"/>
  <c r="D225" i="3"/>
  <c r="D218" i="3"/>
  <c r="G104" i="7" l="1"/>
  <c r="G6" i="7" s="1"/>
  <c r="H145" i="7"/>
  <c r="H9" i="7"/>
  <c r="H8" i="7" s="1"/>
  <c r="I69" i="7"/>
  <c r="I145" i="7"/>
  <c r="D83" i="3"/>
  <c r="D82" i="3" s="1"/>
  <c r="E145" i="7"/>
  <c r="E6" i="7" s="1"/>
  <c r="D174" i="3"/>
  <c r="F6" i="7"/>
  <c r="H104" i="7"/>
  <c r="I160" i="7"/>
  <c r="G160" i="7"/>
  <c r="H160" i="7"/>
  <c r="I104" i="7"/>
  <c r="G83" i="3"/>
  <c r="H83" i="3"/>
  <c r="F155" i="3"/>
  <c r="F162" i="3" s="1"/>
  <c r="H156" i="3"/>
  <c r="G156" i="3"/>
  <c r="G66" i="3"/>
  <c r="G79" i="3" s="1"/>
  <c r="H66" i="3"/>
  <c r="H79" i="3" s="1"/>
  <c r="D38" i="3"/>
  <c r="F108" i="3"/>
  <c r="H96" i="3"/>
  <c r="H108" i="3" s="1"/>
  <c r="G96" i="3"/>
  <c r="G108" i="3" s="1"/>
  <c r="G39" i="3"/>
  <c r="H39" i="3"/>
  <c r="G210" i="3"/>
  <c r="G183" i="3"/>
  <c r="G123" i="3"/>
  <c r="G119" i="3"/>
  <c r="H64" i="3"/>
  <c r="H57" i="3"/>
  <c r="F153" i="3"/>
  <c r="H136" i="3"/>
  <c r="H153" i="3" s="1"/>
  <c r="G136" i="3"/>
  <c r="G153" i="3" s="1"/>
  <c r="F55" i="3"/>
  <c r="G50" i="3"/>
  <c r="G55" i="3" s="1"/>
  <c r="H50" i="3"/>
  <c r="H55" i="3" s="1"/>
  <c r="F181" i="3"/>
  <c r="H176" i="3"/>
  <c r="H181" i="3" s="1"/>
  <c r="G176" i="3"/>
  <c r="G181" i="3" s="1"/>
  <c r="H48" i="3"/>
  <c r="G48" i="3"/>
  <c r="F174" i="3"/>
  <c r="H165" i="3"/>
  <c r="G165" i="3"/>
  <c r="F134" i="3"/>
  <c r="H126" i="3"/>
  <c r="G126" i="3"/>
  <c r="H210" i="3"/>
  <c r="H183" i="3"/>
  <c r="H123" i="3"/>
  <c r="H119" i="3"/>
  <c r="G64" i="3"/>
  <c r="G57" i="3"/>
  <c r="E82" i="3"/>
  <c r="D136" i="3"/>
  <c r="D153" i="3" s="1"/>
  <c r="F38" i="3"/>
  <c r="F125" i="3"/>
  <c r="D48" i="3"/>
  <c r="D94" i="3"/>
  <c r="F94" i="3"/>
  <c r="F82" i="3"/>
  <c r="D184" i="3"/>
  <c r="D183" i="3" s="1"/>
  <c r="F79" i="3"/>
  <c r="E230" i="3"/>
  <c r="I6" i="7" l="1"/>
  <c r="H6" i="7"/>
  <c r="G134" i="3"/>
  <c r="G125" i="3"/>
  <c r="H174" i="3"/>
  <c r="H164" i="3"/>
  <c r="G38" i="3"/>
  <c r="H162" i="3"/>
  <c r="H155" i="3"/>
  <c r="H94" i="3"/>
  <c r="H82" i="3"/>
  <c r="H134" i="3"/>
  <c r="H125" i="3"/>
  <c r="G174" i="3"/>
  <c r="G164" i="3"/>
  <c r="H38" i="3"/>
  <c r="G162" i="3"/>
  <c r="G155" i="3"/>
  <c r="G82" i="3"/>
  <c r="G94" i="3"/>
  <c r="F230" i="3"/>
  <c r="D125" i="3"/>
  <c r="D230" i="3" s="1"/>
  <c r="H230" i="3" l="1"/>
  <c r="G230" i="3"/>
  <c r="F18" i="10"/>
  <c r="F15" i="10"/>
  <c r="G40" i="10" l="1"/>
  <c r="G43" i="10" s="1"/>
  <c r="H40" i="10" s="1"/>
  <c r="H43" i="10" s="1"/>
  <c r="I40" i="10" s="1"/>
  <c r="I43" i="10" s="1"/>
  <c r="J40" i="10" s="1"/>
  <c r="J43" i="10" s="1"/>
  <c r="J27" i="10"/>
  <c r="I27" i="10"/>
  <c r="H27" i="10"/>
  <c r="G27" i="10"/>
  <c r="F27" i="10"/>
  <c r="J17" i="10"/>
  <c r="I17" i="10"/>
  <c r="H17" i="10"/>
  <c r="G17" i="10"/>
  <c r="G20" i="10" s="1"/>
  <c r="F17" i="10"/>
  <c r="J14" i="10"/>
  <c r="I14" i="10"/>
  <c r="F14" i="10"/>
  <c r="F20" i="10" l="1"/>
  <c r="I20" i="10"/>
  <c r="I28" i="10" s="1"/>
  <c r="I34" i="10" s="1"/>
  <c r="I35" i="10" s="1"/>
  <c r="H20" i="10"/>
  <c r="H28" i="10" s="1"/>
  <c r="H34" i="10" s="1"/>
  <c r="J20" i="10"/>
  <c r="J28" i="10" s="1"/>
  <c r="J34" i="10" s="1"/>
  <c r="J35" i="10" s="1"/>
  <c r="F28" i="10"/>
  <c r="F34" i="10" s="1"/>
  <c r="G28" i="10"/>
  <c r="G34" i="10" s="1"/>
</calcChain>
</file>

<file path=xl/sharedStrings.xml><?xml version="1.0" encoding="utf-8"?>
<sst xmlns="http://schemas.openxmlformats.org/spreadsheetml/2006/main" count="675" uniqueCount="249">
  <si>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</si>
  <si>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</si>
  <si>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</si>
  <si>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</si>
  <si>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</si>
  <si>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</si>
  <si>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</si>
  <si>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</si>
  <si>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</si>
  <si>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</si>
  <si>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</si>
  <si>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</si>
  <si>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</si>
  <si>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</si>
  <si>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</si>
  <si>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</si>
  <si>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</si>
  <si>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</si>
  <si>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</si>
  <si>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</si>
  <si>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</si>
  <si>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</si>
  <si>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</si>
  <si>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</si>
  <si>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</si>
  <si>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</si>
  <si>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</si>
  <si>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</si>
  <si>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</si>
  <si>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</si>
  <si>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</si>
  <si>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</si>
  <si>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</si>
  <si>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</si>
  <si>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</si>
  <si>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</si>
  <si>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</si>
  <si>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</si>
  <si>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</si>
  <si>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</si>
  <si>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</si>
  <si>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</si>
  <si>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</si>
  <si>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</si>
  <si>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</si>
  <si>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</si>
  <si>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</si>
  <si>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</si>
  <si>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</si>
  <si>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</si>
  <si>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</si>
  <si>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</si>
  <si>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</si>
  <si>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</si>
  <si>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</si>
  <si>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</si>
  <si>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</si>
  <si>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</si>
  <si>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</si>
  <si>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</si>
  <si>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</si>
  <si>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</si>
  <si>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</si>
  <si>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</si>
  <si>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</si>
  <si>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</si>
  <si>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</si>
  <si>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</si>
  <si>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</si>
  <si>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</si>
  <si>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</si>
  <si>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</si>
  <si>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</si>
  <si>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</si>
  <si>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</si>
  <si>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</si>
  <si>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</si>
  <si>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adminis-
trativnih pristojbi, pristojbi po
posebnim propisima i naknada</t>
  </si>
  <si>
    <t>Financijski rashodi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</si>
  <si>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</si>
  <si>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</si>
  <si>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</si>
  <si>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</si>
  <si>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</si>
  <si>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</si>
  <si>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 za obvezno ZO</t>
  </si>
  <si>
    <t>Opći prihodi i primici</t>
  </si>
  <si>
    <t>Naknade troškova zaposlen.</t>
  </si>
  <si>
    <t>Naknada za prij.na posao</t>
  </si>
  <si>
    <t>Ostali nespomenuti rashodi
poslovanja</t>
  </si>
  <si>
    <t>Naknade za rad predstavnič.
tijela ,povjerenstava i slično</t>
  </si>
  <si>
    <t>Vlastiti prihodi</t>
  </si>
  <si>
    <t>Rashodi za materijal i energ.</t>
  </si>
  <si>
    <t>Uredski mater.i ostali mat.r.</t>
  </si>
  <si>
    <t>Materijal i sirovine</t>
  </si>
  <si>
    <t>Materijal i dijelovi za tekuće
i investicijsko održavanje</t>
  </si>
  <si>
    <t>Sitni inventar i autogume</t>
  </si>
  <si>
    <t>Službena, radna i zaštitna 
odjeća i obuća</t>
  </si>
  <si>
    <t>Rashodi za usluge</t>
  </si>
  <si>
    <t>Usluge tekućeg i inv.održ.</t>
  </si>
  <si>
    <t>Komunalne usluge</t>
  </si>
  <si>
    <t>Ostale usluge</t>
  </si>
  <si>
    <t>Plaće po sudsim presudama</t>
  </si>
  <si>
    <t>Doprinos zaobv.ZO u sl.nezap.</t>
  </si>
  <si>
    <t>Ostale pomoći</t>
  </si>
  <si>
    <t>Naknade za prijevoz,rad na 
terenu i odvojeni život</t>
  </si>
  <si>
    <t>Zdravstvene i veter.usluge</t>
  </si>
  <si>
    <t>Ostale pristojbei naknade</t>
  </si>
  <si>
    <t>Troškovi sudskih postupaka</t>
  </si>
  <si>
    <t>Ostali financijski rashosi</t>
  </si>
  <si>
    <t>Zatezne kamate</t>
  </si>
  <si>
    <t>Naknade građanima i kućanstvima</t>
  </si>
  <si>
    <t>Rashodi za nabavu proizve-
dene dug.imovine</t>
  </si>
  <si>
    <t>Knjige,umjetničkadjela
i ostale izložb.vrijednosti</t>
  </si>
  <si>
    <t>Knjige</t>
  </si>
  <si>
    <t>Ostali prihodi za pos.namjene</t>
  </si>
  <si>
    <t>Službena putovanja</t>
  </si>
  <si>
    <t>Prihodi za posebne namjene
-višak</t>
  </si>
  <si>
    <t>Rashodizanabavu nefinanc.
Imovine</t>
  </si>
  <si>
    <t>Postrojenje i oprema</t>
  </si>
  <si>
    <t>Uredska oprema i namještaj</t>
  </si>
  <si>
    <t>Komunikacijska oprema</t>
  </si>
  <si>
    <t>Knjige za knjižnicu</t>
  </si>
  <si>
    <t>Pomoći EU</t>
  </si>
  <si>
    <t>Stručno usavršavanje zapos.</t>
  </si>
  <si>
    <t>Ostale naknade troškova
zaposlenima</t>
  </si>
  <si>
    <t>Energija</t>
  </si>
  <si>
    <t>Usluge telefona,pošte i
prijevoza</t>
  </si>
  <si>
    <t>Usluge promid.iinformiranja</t>
  </si>
  <si>
    <t>Intelektualne i osobne usluge</t>
  </si>
  <si>
    <t>Računalne usluge</t>
  </si>
  <si>
    <t>Članarine</t>
  </si>
  <si>
    <t>Pristojbe i naknade</t>
  </si>
  <si>
    <t>Decentralizirana sredstva</t>
  </si>
  <si>
    <t>Bankarske usluge i usluge
platnog prometa</t>
  </si>
  <si>
    <t>Rashodi zanabavu proizvedene
dugotrajneimovine</t>
  </si>
  <si>
    <t>Oprema za grij.ventilaciju i  hlađenje</t>
  </si>
  <si>
    <t>Glazeni instrumenti i oprema</t>
  </si>
  <si>
    <t>Uređaji,strojevi i oprema</t>
  </si>
  <si>
    <t>Donacije</t>
  </si>
  <si>
    <t>Donacije -višak prihoda</t>
  </si>
  <si>
    <t>Ukupno rashodi</t>
  </si>
  <si>
    <t>Rashodi za nabavu nefinanc. imovine</t>
  </si>
  <si>
    <t>Knjige,umjetničkadjela
i ostale izložb. vrijednosti</t>
  </si>
  <si>
    <t>Ostali prihodi za pos. namjene</t>
  </si>
  <si>
    <t>Naknade za prijevoz, rad na  terenu i odvojeni život</t>
  </si>
  <si>
    <t>Materijal i sirovine - shema</t>
  </si>
  <si>
    <t>Ostali financijski rashodi</t>
  </si>
  <si>
    <t>Naknade građanima i kućanstvima na temelju osiguranja
i druge naknade</t>
  </si>
  <si>
    <t xml:space="preserve">Ostale naknade građanima i kućan. iz proračuna
</t>
  </si>
  <si>
    <t>Prihodi od prodaje proizvoda i
robe te pruženih usluga i prihodi od donacija</t>
  </si>
  <si>
    <t xml:space="preserve">Donacija </t>
  </si>
  <si>
    <t xml:space="preserve">  44 Decentralizirana sredstva</t>
  </si>
  <si>
    <t xml:space="preserve">  51 Pomoći EU</t>
  </si>
  <si>
    <t>31 Vlastiti i ostali prihodi</t>
  </si>
  <si>
    <t>3 Vlastiti i ostali prihodi</t>
  </si>
  <si>
    <t>09 Obrazovanje</t>
  </si>
  <si>
    <t>091 Predškolsko i osnovno obrazovanje</t>
  </si>
  <si>
    <t>09912 Osnovno obrazovanje</t>
  </si>
  <si>
    <t>096 Dodatne usluge u obrazovanju</t>
  </si>
  <si>
    <t>PROGRAM 1013</t>
  </si>
  <si>
    <t>ŠKOLSTVO</t>
  </si>
  <si>
    <t>Aktivnost T100117 - škola jed. mog.</t>
  </si>
  <si>
    <t>PLAĆE I NAKNADE</t>
  </si>
  <si>
    <t>Izvor financiranja 11</t>
  </si>
  <si>
    <t>MATERIJALNI TROŠK. I USLUGE</t>
  </si>
  <si>
    <t>Ostali nespomenuti rashodi posl.</t>
  </si>
  <si>
    <t>Naknade za rad pred.tijela,povjer.</t>
  </si>
  <si>
    <t>Aktivnost A101330 - e škole</t>
  </si>
  <si>
    <t>Izvor financiranja 31</t>
  </si>
  <si>
    <t>Rashodi za materijal i energiju</t>
  </si>
  <si>
    <t>Uredski materijal i ostali mater.ras.</t>
  </si>
  <si>
    <t>Materijal i dijelovi za tekuće i in.od.</t>
  </si>
  <si>
    <t>Službena,radna i zaštitna odj.i ob.</t>
  </si>
  <si>
    <t>Rashodi za nabavu nef.im.</t>
  </si>
  <si>
    <t>Rashodi za nabavu proizv.n.im.</t>
  </si>
  <si>
    <t>Aktivnost T100117- škola jed. mog.</t>
  </si>
  <si>
    <t>Izvor financiranja 51</t>
  </si>
  <si>
    <t>Aktivnost T100117</t>
  </si>
  <si>
    <t>MATERIJALNI TROŠK.I USLUGE</t>
  </si>
  <si>
    <t>Aktivnost T100115 - školska shema</t>
  </si>
  <si>
    <t>Aktivnost T100115 - školski obroci svima</t>
  </si>
  <si>
    <t>Aktivnost A101314 - ostali izdaci za osn. škole (izv. financ. vl i ost. prih)</t>
  </si>
  <si>
    <t>Izvor financiranja 52</t>
  </si>
  <si>
    <t>Plaće (bruto)</t>
  </si>
  <si>
    <t>Plaće po sudskim presudam</t>
  </si>
  <si>
    <t>Doprinos u sluč.neza.</t>
  </si>
  <si>
    <t>Zdravstvene i veterinarske usluge</t>
  </si>
  <si>
    <t>Ostale pristojbe i naknade</t>
  </si>
  <si>
    <t>Ostali finanancisjki rashodi</t>
  </si>
  <si>
    <t>Naknade građanima i kuć.</t>
  </si>
  <si>
    <t>Ostale naknade kuć.i građanima</t>
  </si>
  <si>
    <t>Knjige,umjetnička dijela</t>
  </si>
  <si>
    <t>Aktivnost A101314</t>
  </si>
  <si>
    <t>Izvor financiranja 43</t>
  </si>
  <si>
    <t>Ostali prihodi za posebne namjene</t>
  </si>
  <si>
    <t>Plaće(bruto)</t>
  </si>
  <si>
    <t>Plaće za redova rad</t>
  </si>
  <si>
    <t>MATERIJALNI TROŠKOVI I USL.</t>
  </si>
  <si>
    <t>Naknada za prijevoz na posao</t>
  </si>
  <si>
    <t>Sužbena,radna i zašt.odjeća i obuća</t>
  </si>
  <si>
    <t>Usluge telefona, pošte i prijevoza</t>
  </si>
  <si>
    <t>Usluge tekućeg i inv.odr.</t>
  </si>
  <si>
    <t>Nakne za rad pred.tijela.,povjer.</t>
  </si>
  <si>
    <t>Izdaci za osiguranje učenika</t>
  </si>
  <si>
    <t xml:space="preserve">Prihodi za posebne namjene-višak </t>
  </si>
  <si>
    <t>Rashosi za nabavu nef.imovine</t>
  </si>
  <si>
    <t>Aktivnost A101301 - osnovno školstvo</t>
  </si>
  <si>
    <t>Izvor financiranja 44</t>
  </si>
  <si>
    <t>Decentralizirane funkcije OŠ</t>
  </si>
  <si>
    <t>Stručno usavrš.zaposlenika</t>
  </si>
  <si>
    <t>Usluge telefona,pošte i prijevoza</t>
  </si>
  <si>
    <t>Usluge prom.i informiranja</t>
  </si>
  <si>
    <t>Bankarske usluge i usluge pl.pr.</t>
  </si>
  <si>
    <t>Rashodi za nabavu nefin.imovine</t>
  </si>
  <si>
    <t>Rashodi za nabavu dug.nef.im.</t>
  </si>
  <si>
    <t>Oprema za grijanje,hlađenje,ven.</t>
  </si>
  <si>
    <t>Glazbeni inst.i oprema</t>
  </si>
  <si>
    <t>Uređaji, strojeva i oprema</t>
  </si>
  <si>
    <t>Izvor financiranja 61</t>
  </si>
  <si>
    <t xml:space="preserve">Donacije </t>
  </si>
  <si>
    <t>Aktivnost A101314 ostali izd. za osn. škole (izv. fin. vl. i ost. prihodi)</t>
  </si>
  <si>
    <t>Ostale nak.trošk.zaposlenika</t>
  </si>
  <si>
    <t>Donacije - višak prihoda</t>
  </si>
  <si>
    <t>Pomoći pror.kor.iz pr.koji im
nije nadleža</t>
  </si>
  <si>
    <t>Tekuće pomoći pror.kor.</t>
  </si>
  <si>
    <t>Kapitalne pomoći pror.kor.</t>
  </si>
  <si>
    <t>Pomoći temeljem prijenosa
EU sredstava</t>
  </si>
  <si>
    <t>Tekuće pomoći tem.prij.
EU sredstava</t>
  </si>
  <si>
    <t>Prihodi po posebnim prop.</t>
  </si>
  <si>
    <t>Ostali nespomenuti prihodi</t>
  </si>
  <si>
    <t>Prihodi od prodaje proiz.te
pruženih usluga</t>
  </si>
  <si>
    <t>prihodi od pruž.usluga</t>
  </si>
  <si>
    <t>Donacije od pravnih i fizičkih 
osobaopćeg proračuna</t>
  </si>
  <si>
    <t>Tekuće donacije</t>
  </si>
  <si>
    <t xml:space="preserve">Prihodi iz nadležnog prorač.
za financ.red,dj.pr.korisnika
</t>
  </si>
  <si>
    <t>Prihodi iz nadležnog proračuna za fina.rash.poslov.</t>
  </si>
  <si>
    <t>61 Donacije</t>
  </si>
  <si>
    <t>6 Donacije</t>
  </si>
  <si>
    <t>OSNOVNA ŠKOLA SELNICA</t>
  </si>
  <si>
    <t>KLASA:  400-02/23-01/01</t>
  </si>
  <si>
    <t>Selnica, 29. 12. 2023.</t>
  </si>
  <si>
    <t>URBROJ: 2109-12-23-3</t>
  </si>
  <si>
    <t>Predsjednica školskog odbora</t>
  </si>
  <si>
    <t>Tanja Perhoč</t>
  </si>
  <si>
    <t>Bernarda Tkalčec</t>
  </si>
  <si>
    <t>Ravnateljica</t>
  </si>
  <si>
    <t>Sastavio</t>
  </si>
  <si>
    <t>Željko Zadravec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</si>
</sst>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3" fontId="21" fillId="2" borderId="3" xfId="0" applyNumberFormat="1" applyFont="1" applyFill="1" applyBorder="1" applyAlignment="1">
      <alignment horizontal="right"/>
    </xf>
    <xf numFmtId="0" fontId="7" fillId="4" borderId="3" xfId="0" quotePrefix="1" applyFont="1" applyFill="1" applyBorder="1" applyAlignment="1">
      <alignment horizontal="left" vertical="center"/>
    </xf>
    <xf numFmtId="0" fontId="8" fillId="4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/>
    </xf>
    <xf numFmtId="3" fontId="21" fillId="2" borderId="4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/>
    </xf>
    <xf numFmtId="0" fontId="9" fillId="4" borderId="3" xfId="0" quotePrefix="1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3" fontId="7" fillId="4" borderId="3" xfId="0" applyNumberFormat="1" applyFont="1" applyFill="1" applyBorder="1" applyAlignment="1">
      <alignment horizontal="right"/>
    </xf>
    <xf numFmtId="3" fontId="21" fillId="4" borderId="3" xfId="0" applyNumberFormat="1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 vertical="center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9" fillId="4" borderId="10" xfId="0" applyNumberFormat="1" applyFont="1" applyFill="1" applyBorder="1" applyAlignment="1" applyProtection="1">
      <alignment horizontal="left" vertical="center" wrapText="1"/>
    </xf>
    <xf numFmtId="0" fontId="9" fillId="4" borderId="11" xfId="0" applyNumberFormat="1" applyFont="1" applyFill="1" applyBorder="1" applyAlignment="1" applyProtection="1">
      <alignment horizontal="left" vertical="center" wrapText="1"/>
    </xf>
    <xf numFmtId="0" fontId="9" fillId="5" borderId="14" xfId="0" applyNumberFormat="1" applyFont="1" applyFill="1" applyBorder="1" applyAlignment="1" applyProtection="1">
      <alignment horizontal="left" vertical="center" wrapText="1"/>
    </xf>
    <xf numFmtId="0" fontId="9" fillId="2" borderId="14" xfId="0" applyNumberFormat="1" applyFont="1" applyFill="1" applyBorder="1" applyAlignment="1" applyProtection="1">
      <alignment horizontal="left" vertical="center" wrapText="1"/>
    </xf>
    <xf numFmtId="3" fontId="21" fillId="2" borderId="16" xfId="0" applyNumberFormat="1" applyFont="1" applyFill="1" applyBorder="1" applyAlignment="1">
      <alignment horizontal="right"/>
    </xf>
    <xf numFmtId="0" fontId="7" fillId="4" borderId="17" xfId="0" quotePrefix="1" applyFont="1" applyFill="1" applyBorder="1" applyAlignment="1">
      <alignment horizontal="left" vertical="center"/>
    </xf>
    <xf numFmtId="0" fontId="7" fillId="4" borderId="18" xfId="0" quotePrefix="1" applyFont="1" applyFill="1" applyBorder="1" applyAlignment="1">
      <alignment horizontal="left" vertical="center"/>
    </xf>
    <xf numFmtId="0" fontId="8" fillId="4" borderId="18" xfId="0" quotePrefix="1" applyFont="1" applyFill="1" applyBorder="1" applyAlignment="1">
      <alignment horizontal="left" vertical="center"/>
    </xf>
    <xf numFmtId="0" fontId="7" fillId="5" borderId="10" xfId="0" quotePrefix="1" applyFont="1" applyFill="1" applyBorder="1" applyAlignment="1">
      <alignment horizontal="left" vertical="center"/>
    </xf>
    <xf numFmtId="0" fontId="7" fillId="5" borderId="11" xfId="0" quotePrefix="1" applyFont="1" applyFill="1" applyBorder="1" applyAlignment="1">
      <alignment horizontal="left" vertical="center"/>
    </xf>
    <xf numFmtId="0" fontId="7" fillId="2" borderId="14" xfId="0" quotePrefix="1" applyFont="1" applyFill="1" applyBorder="1" applyAlignment="1">
      <alignment horizontal="left" vertical="center"/>
    </xf>
    <xf numFmtId="3" fontId="21" fillId="2" borderId="15" xfId="0" applyNumberFormat="1" applyFont="1" applyFill="1" applyBorder="1" applyAlignment="1">
      <alignment horizontal="right"/>
    </xf>
    <xf numFmtId="0" fontId="7" fillId="2" borderId="22" xfId="0" quotePrefix="1" applyFont="1" applyFill="1" applyBorder="1" applyAlignment="1">
      <alignment horizontal="left" vertical="center"/>
    </xf>
    <xf numFmtId="0" fontId="8" fillId="2" borderId="22" xfId="0" quotePrefix="1" applyFont="1" applyFill="1" applyBorder="1" applyAlignment="1">
      <alignment horizontal="left" vertical="center"/>
    </xf>
    <xf numFmtId="0" fontId="9" fillId="4" borderId="10" xfId="0" quotePrefix="1" applyFont="1" applyFill="1" applyBorder="1" applyAlignment="1">
      <alignment horizontal="left" vertical="center"/>
    </xf>
    <xf numFmtId="0" fontId="9" fillId="4" borderId="11" xfId="0" quotePrefix="1" applyFont="1" applyFill="1" applyBorder="1" applyAlignment="1">
      <alignment horizontal="left" vertical="center"/>
    </xf>
    <xf numFmtId="0" fontId="22" fillId="4" borderId="11" xfId="0" quotePrefix="1" applyFont="1" applyFill="1" applyBorder="1" applyAlignment="1">
      <alignment horizontal="left" vertical="center"/>
    </xf>
    <xf numFmtId="0" fontId="7" fillId="5" borderId="14" xfId="0" quotePrefix="1" applyFont="1" applyFill="1" applyBorder="1" applyAlignment="1">
      <alignment horizontal="left" vertical="center"/>
    </xf>
    <xf numFmtId="0" fontId="7" fillId="4" borderId="10" xfId="0" quotePrefix="1" applyFont="1" applyFill="1" applyBorder="1" applyAlignment="1">
      <alignment horizontal="left" vertical="center"/>
    </xf>
    <xf numFmtId="0" fontId="7" fillId="4" borderId="11" xfId="0" quotePrefix="1" applyFont="1" applyFill="1" applyBorder="1" applyAlignment="1">
      <alignment horizontal="left" vertical="center"/>
    </xf>
    <xf numFmtId="0" fontId="8" fillId="4" borderId="11" xfId="0" quotePrefix="1" applyFont="1" applyFill="1" applyBorder="1" applyAlignment="1">
      <alignment horizontal="left" vertical="center"/>
    </xf>
    <xf numFmtId="0" fontId="9" fillId="5" borderId="11" xfId="0" quotePrefix="1" applyFont="1" applyFill="1" applyBorder="1" applyAlignment="1">
      <alignment horizontal="left" vertical="center"/>
    </xf>
    <xf numFmtId="0" fontId="7" fillId="4" borderId="14" xfId="0" quotePrefix="1" applyFont="1" applyFill="1" applyBorder="1" applyAlignment="1">
      <alignment horizontal="left" vertical="center"/>
    </xf>
    <xf numFmtId="3" fontId="21" fillId="4" borderId="16" xfId="0" applyNumberFormat="1" applyFont="1" applyFill="1" applyBorder="1" applyAlignment="1">
      <alignment horizontal="right"/>
    </xf>
    <xf numFmtId="0" fontId="9" fillId="2" borderId="0" xfId="0" quotePrefix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0" fontId="9" fillId="4" borderId="18" xfId="0" quotePrefix="1" applyFont="1" applyFill="1" applyBorder="1" applyAlignment="1">
      <alignment horizontal="left" vertical="center"/>
    </xf>
    <xf numFmtId="3" fontId="7" fillId="4" borderId="18" xfId="0" applyNumberFormat="1" applyFont="1" applyFill="1" applyBorder="1" applyAlignment="1">
      <alignment horizontal="right"/>
    </xf>
    <xf numFmtId="3" fontId="21" fillId="4" borderId="18" xfId="0" applyNumberFormat="1" applyFont="1" applyFill="1" applyBorder="1" applyAlignment="1">
      <alignment horizontal="right"/>
    </xf>
    <xf numFmtId="3" fontId="21" fillId="4" borderId="20" xfId="0" applyNumberFormat="1" applyFont="1" applyFill="1" applyBorder="1" applyAlignment="1">
      <alignment horizontal="right"/>
    </xf>
    <xf numFmtId="0" fontId="23" fillId="5" borderId="14" xfId="0" applyFont="1" applyFill="1" applyBorder="1"/>
    <xf numFmtId="0" fontId="23" fillId="5" borderId="3" xfId="0" applyFont="1" applyFill="1" applyBorder="1"/>
    <xf numFmtId="0" fontId="23" fillId="5" borderId="3" xfId="0" applyFont="1" applyFill="1" applyBorder="1" applyAlignment="1">
      <alignment wrapText="1"/>
    </xf>
    <xf numFmtId="0" fontId="23" fillId="2" borderId="14" xfId="0" applyFont="1" applyFill="1" applyBorder="1"/>
    <xf numFmtId="0" fontId="23" fillId="2" borderId="3" xfId="0" applyFont="1" applyFill="1" applyBorder="1"/>
    <xf numFmtId="0" fontId="23" fillId="2" borderId="3" xfId="0" applyFont="1" applyFill="1" applyBorder="1" applyAlignment="1">
      <alignment wrapText="1"/>
    </xf>
    <xf numFmtId="0" fontId="23" fillId="4" borderId="17" xfId="0" applyFont="1" applyFill="1" applyBorder="1"/>
    <xf numFmtId="0" fontId="23" fillId="4" borderId="18" xfId="0" applyFont="1" applyFill="1" applyBorder="1"/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4" borderId="18" xfId="0" applyNumberFormat="1" applyFont="1" applyFill="1" applyBorder="1" applyAlignment="1" applyProtection="1">
      <alignment horizontal="left" vertical="center" wrapText="1"/>
    </xf>
    <xf numFmtId="0" fontId="7" fillId="5" borderId="3" xfId="0" quotePrefix="1" applyFont="1" applyFill="1" applyBorder="1" applyAlignment="1">
      <alignment horizontal="left" vertical="center" wrapText="1"/>
    </xf>
    <xf numFmtId="0" fontId="7" fillId="4" borderId="18" xfId="0" quotePrefix="1" applyFont="1" applyFill="1" applyBorder="1" applyAlignment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 wrapText="1"/>
    </xf>
    <xf numFmtId="0" fontId="7" fillId="4" borderId="11" xfId="0" quotePrefix="1" applyFont="1" applyFill="1" applyBorder="1" applyAlignment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wrapText="1"/>
    </xf>
    <xf numFmtId="0" fontId="23" fillId="4" borderId="3" xfId="0" applyFont="1" applyFill="1" applyBorder="1"/>
    <xf numFmtId="0" fontId="23" fillId="4" borderId="14" xfId="0" applyFont="1" applyFill="1" applyBorder="1"/>
    <xf numFmtId="0" fontId="23" fillId="0" borderId="29" xfId="0" applyFont="1" applyBorder="1"/>
    <xf numFmtId="0" fontId="23" fillId="0" borderId="30" xfId="0" applyFont="1" applyBorder="1"/>
    <xf numFmtId="0" fontId="28" fillId="0" borderId="30" xfId="0" applyFont="1" applyBorder="1"/>
    <xf numFmtId="0" fontId="7" fillId="2" borderId="3" xfId="0" quotePrefix="1" applyFont="1" applyFill="1" applyBorder="1" applyAlignment="1">
      <alignment horizontal="left" vertical="top" wrapText="1"/>
    </xf>
    <xf numFmtId="0" fontId="24" fillId="0" borderId="0" xfId="0" applyFont="1"/>
    <xf numFmtId="3" fontId="27" fillId="0" borderId="0" xfId="0" applyNumberFormat="1" applyFont="1"/>
    <xf numFmtId="0" fontId="24" fillId="2" borderId="0" xfId="0" applyFont="1" applyFill="1" applyBorder="1"/>
    <xf numFmtId="0" fontId="24" fillId="4" borderId="10" xfId="0" applyFont="1" applyFill="1" applyBorder="1"/>
    <xf numFmtId="0" fontId="24" fillId="4" borderId="11" xfId="0" applyFont="1" applyFill="1" applyBorder="1"/>
    <xf numFmtId="0" fontId="24" fillId="2" borderId="0" xfId="0" applyFont="1" applyFill="1" applyBorder="1" applyAlignment="1">
      <alignment wrapText="1"/>
    </xf>
    <xf numFmtId="0" fontId="27" fillId="4" borderId="10" xfId="0" applyFont="1" applyFill="1" applyBorder="1"/>
    <xf numFmtId="3" fontId="6" fillId="2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 applyProtection="1">
      <alignment horizontal="left" vertical="center" wrapText="1"/>
    </xf>
    <xf numFmtId="0" fontId="16" fillId="4" borderId="4" xfId="0" applyNumberFormat="1" applyFont="1" applyFill="1" applyBorder="1" applyAlignment="1" applyProtection="1">
      <alignment horizontal="left" vertical="center" wrapText="1"/>
    </xf>
    <xf numFmtId="0" fontId="23" fillId="6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36" xfId="0" applyNumberFormat="1" applyFont="1" applyFill="1" applyBorder="1" applyAlignment="1" applyProtection="1">
      <alignment horizontal="left" vertical="center" wrapText="1" indent="1"/>
    </xf>
    <xf numFmtId="0" fontId="3" fillId="2" borderId="37" xfId="0" applyNumberFormat="1" applyFont="1" applyFill="1" applyBorder="1" applyAlignment="1" applyProtection="1">
      <alignment horizontal="left" vertical="center" wrapText="1" indent="1"/>
    </xf>
    <xf numFmtId="0" fontId="3" fillId="2" borderId="33" xfId="0" applyNumberFormat="1" applyFont="1" applyFill="1" applyBorder="1" applyAlignment="1" applyProtection="1">
      <alignment horizontal="left" vertical="center" wrapText="1" indent="1"/>
    </xf>
    <xf numFmtId="0" fontId="3" fillId="2" borderId="7" xfId="0" applyNumberFormat="1" applyFont="1" applyFill="1" applyBorder="1" applyAlignment="1" applyProtection="1">
      <alignment horizontal="left" vertical="center" wrapText="1" indent="1"/>
    </xf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6" fillId="5" borderId="36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36" xfId="0" applyNumberFormat="1" applyFont="1" applyFill="1" applyBorder="1" applyAlignment="1" applyProtection="1">
      <alignment horizontal="left" vertical="center" wrapText="1"/>
    </xf>
    <xf numFmtId="0" fontId="3" fillId="2" borderId="38" xfId="0" applyNumberFormat="1" applyFont="1" applyFill="1" applyBorder="1" applyAlignment="1" applyProtection="1">
      <alignment horizontal="left" vertical="center" wrapText="1"/>
    </xf>
    <xf numFmtId="0" fontId="6" fillId="2" borderId="39" xfId="0" applyNumberFormat="1" applyFont="1" applyFill="1" applyBorder="1" applyAlignment="1" applyProtection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left" vertical="center" wrapText="1"/>
    </xf>
    <xf numFmtId="0" fontId="7" fillId="2" borderId="18" xfId="0" quotePrefix="1" applyFont="1" applyFill="1" applyBorder="1" applyAlignment="1">
      <alignment horizontal="left" vertical="center" wrapText="1"/>
    </xf>
    <xf numFmtId="0" fontId="9" fillId="2" borderId="12" xfId="0" quotePrefix="1" applyFont="1" applyFill="1" applyBorder="1" applyAlignment="1">
      <alignment horizontal="left" vertical="center" wrapText="1"/>
    </xf>
    <xf numFmtId="0" fontId="9" fillId="2" borderId="4" xfId="0" quotePrefix="1" applyFont="1" applyFill="1" applyBorder="1" applyAlignment="1">
      <alignment horizontal="left" vertical="center" wrapText="1"/>
    </xf>
    <xf numFmtId="0" fontId="7" fillId="4" borderId="9" xfId="0" quotePrefix="1" applyFont="1" applyFill="1" applyBorder="1" applyAlignment="1">
      <alignment horizontal="left" vertical="center" wrapText="1"/>
    </xf>
    <xf numFmtId="0" fontId="16" fillId="7" borderId="36" xfId="0" applyNumberFormat="1" applyFont="1" applyFill="1" applyBorder="1" applyAlignment="1" applyProtection="1">
      <alignment horizontal="left" vertical="center" wrapText="1"/>
    </xf>
    <xf numFmtId="0" fontId="16" fillId="7" borderId="2" xfId="0" applyNumberFormat="1" applyFont="1" applyFill="1" applyBorder="1" applyAlignment="1" applyProtection="1">
      <alignment horizontal="left" vertical="center" wrapText="1"/>
    </xf>
    <xf numFmtId="0" fontId="16" fillId="7" borderId="4" xfId="0" applyNumberFormat="1" applyFont="1" applyFill="1" applyBorder="1" applyAlignment="1" applyProtection="1">
      <alignment horizontal="left" vertical="center" wrapText="1"/>
    </xf>
    <xf numFmtId="0" fontId="7" fillId="7" borderId="4" xfId="0" quotePrefix="1" applyFont="1" applyFill="1" applyBorder="1" applyAlignment="1">
      <alignment horizontal="left" vertical="center" wrapText="1"/>
    </xf>
    <xf numFmtId="0" fontId="16" fillId="2" borderId="36" xfId="0" applyNumberFormat="1" applyFont="1" applyFill="1" applyBorder="1" applyAlignment="1" applyProtection="1">
      <alignment horizontal="left" vertical="center" wrapText="1"/>
    </xf>
    <xf numFmtId="3" fontId="21" fillId="2" borderId="16" xfId="0" applyNumberFormat="1" applyFont="1" applyFill="1" applyBorder="1" applyAlignment="1" applyProtection="1">
      <alignment horizontal="right" wrapText="1"/>
    </xf>
    <xf numFmtId="0" fontId="30" fillId="5" borderId="36" xfId="0" applyNumberFormat="1" applyFont="1" applyFill="1" applyBorder="1" applyAlignment="1" applyProtection="1">
      <alignment horizontal="left" vertical="center" wrapText="1"/>
    </xf>
    <xf numFmtId="0" fontId="16" fillId="5" borderId="2" xfId="0" applyNumberFormat="1" applyFont="1" applyFill="1" applyBorder="1" applyAlignment="1" applyProtection="1">
      <alignment horizontal="left" vertical="center" wrapText="1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16" fillId="8" borderId="36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16" fillId="5" borderId="36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7" fillId="4" borderId="9" xfId="0" applyNumberFormat="1" applyFont="1" applyFill="1" applyBorder="1" applyAlignment="1" applyProtection="1">
      <alignment horizontal="left" vertical="center" wrapText="1"/>
    </xf>
    <xf numFmtId="0" fontId="16" fillId="6" borderId="36" xfId="0" applyNumberFormat="1" applyFont="1" applyFill="1" applyBorder="1" applyAlignment="1" applyProtection="1">
      <alignment horizontal="left" vertical="center" wrapText="1"/>
    </xf>
    <xf numFmtId="0" fontId="16" fillId="6" borderId="2" xfId="0" applyNumberFormat="1" applyFont="1" applyFill="1" applyBorder="1" applyAlignment="1" applyProtection="1">
      <alignment horizontal="left" vertical="center" wrapText="1"/>
    </xf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7" fillId="6" borderId="4" xfId="0" applyNumberFormat="1" applyFont="1" applyFill="1" applyBorder="1" applyAlignment="1" applyProtection="1">
      <alignment horizontal="left" vertical="center" wrapText="1"/>
    </xf>
    <xf numFmtId="0" fontId="7" fillId="4" borderId="4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6" fillId="2" borderId="37" xfId="0" applyNumberFormat="1" applyFont="1" applyFill="1" applyBorder="1" applyAlignment="1" applyProtection="1">
      <alignment horizontal="left" vertical="center" wrapText="1"/>
    </xf>
    <xf numFmtId="0" fontId="16" fillId="2" borderId="33" xfId="0" applyNumberFormat="1" applyFont="1" applyFill="1" applyBorder="1" applyAlignment="1" applyProtection="1">
      <alignment horizontal="left" vertical="center" wrapText="1"/>
    </xf>
    <xf numFmtId="0" fontId="16" fillId="2" borderId="7" xfId="0" applyNumberFormat="1" applyFont="1" applyFill="1" applyBorder="1" applyAlignment="1" applyProtection="1">
      <alignment horizontal="left" vertical="center" wrapText="1"/>
    </xf>
    <xf numFmtId="0" fontId="7" fillId="2" borderId="7" xfId="0" applyNumberFormat="1" applyFont="1" applyFill="1" applyBorder="1" applyAlignment="1" applyProtection="1">
      <alignment horizontal="left" vertical="center" wrapText="1"/>
    </xf>
    <xf numFmtId="0" fontId="16" fillId="2" borderId="38" xfId="0" applyNumberFormat="1" applyFont="1" applyFill="1" applyBorder="1" applyAlignment="1" applyProtection="1">
      <alignment horizontal="left" vertical="center" wrapText="1"/>
    </xf>
    <xf numFmtId="0" fontId="16" fillId="2" borderId="39" xfId="0" applyNumberFormat="1" applyFont="1" applyFill="1" applyBorder="1" applyAlignment="1" applyProtection="1">
      <alignment horizontal="left" vertical="center" wrapText="1"/>
    </xf>
    <xf numFmtId="0" fontId="16" fillId="2" borderId="19" xfId="0" applyNumberFormat="1" applyFont="1" applyFill="1" applyBorder="1" applyAlignment="1" applyProtection="1">
      <alignment horizontal="left" vertical="center" wrapText="1"/>
    </xf>
    <xf numFmtId="0" fontId="7" fillId="2" borderId="19" xfId="0" applyNumberFormat="1" applyFont="1" applyFill="1" applyBorder="1" applyAlignment="1" applyProtection="1">
      <alignment horizontal="left" vertical="center" wrapText="1"/>
    </xf>
    <xf numFmtId="0" fontId="6" fillId="9" borderId="36" xfId="0" applyNumberFormat="1" applyFont="1" applyFill="1" applyBorder="1" applyAlignment="1" applyProtection="1">
      <alignment horizontal="left" vertical="center" wrapText="1"/>
    </xf>
    <xf numFmtId="0" fontId="16" fillId="9" borderId="2" xfId="0" applyNumberFormat="1" applyFont="1" applyFill="1" applyBorder="1" applyAlignment="1" applyProtection="1">
      <alignment horizontal="left" vertical="center" wrapText="1"/>
    </xf>
    <xf numFmtId="0" fontId="16" fillId="9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0" fontId="3" fillId="4" borderId="9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16" fillId="5" borderId="2" xfId="0" applyNumberFormat="1" applyFont="1" applyFill="1" applyBorder="1" applyAlignment="1" applyProtection="1">
      <alignment vertical="center" wrapText="1"/>
    </xf>
    <xf numFmtId="0" fontId="7" fillId="5" borderId="4" xfId="0" applyNumberFormat="1" applyFont="1" applyFill="1" applyBorder="1" applyAlignment="1" applyProtection="1">
      <alignment horizontal="left" vertical="center" wrapText="1"/>
    </xf>
    <xf numFmtId="0" fontId="3" fillId="2" borderId="19" xfId="0" applyNumberFormat="1" applyFont="1" applyFill="1" applyBorder="1" applyAlignment="1" applyProtection="1">
      <alignment horizontal="left" vertical="center" wrapText="1"/>
    </xf>
    <xf numFmtId="0" fontId="6" fillId="8" borderId="9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16" fillId="8" borderId="2" xfId="0" applyNumberFormat="1" applyFont="1" applyFill="1" applyBorder="1" applyAlignment="1" applyProtection="1">
      <alignment horizontal="left" vertical="center" wrapText="1"/>
    </xf>
    <xf numFmtId="0" fontId="16" fillId="8" borderId="4" xfId="0" applyNumberFormat="1" applyFont="1" applyFill="1" applyBorder="1" applyAlignment="1" applyProtection="1">
      <alignment horizontal="left" vertical="center" wrapText="1"/>
    </xf>
    <xf numFmtId="0" fontId="16" fillId="9" borderId="36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7" fillId="2" borderId="4" xfId="0" quotePrefix="1" applyFont="1" applyFill="1" applyBorder="1" applyAlignment="1">
      <alignment horizontal="left" vertical="center"/>
    </xf>
    <xf numFmtId="0" fontId="7" fillId="9" borderId="4" xfId="0" applyNumberFormat="1" applyFont="1" applyFill="1" applyBorder="1" applyAlignment="1" applyProtection="1">
      <alignment horizontal="left" vertical="center" wrapText="1"/>
    </xf>
    <xf numFmtId="0" fontId="6" fillId="4" borderId="9" xfId="0" applyNumberFormat="1" applyFont="1" applyFill="1" applyBorder="1" applyAlignment="1" applyProtection="1">
      <alignment horizontal="left" vertical="center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</xf>
    <xf numFmtId="0" fontId="3" fillId="2" borderId="26" xfId="0" applyNumberFormat="1" applyFont="1" applyFill="1" applyBorder="1" applyAlignment="1" applyProtection="1">
      <alignment horizontal="left" vertical="center" wrapText="1" indent="1"/>
    </xf>
    <xf numFmtId="0" fontId="3" fillId="2" borderId="27" xfId="0" applyNumberFormat="1" applyFont="1" applyFill="1" applyBorder="1" applyAlignment="1" applyProtection="1">
      <alignment horizontal="left" vertical="center" wrapText="1"/>
    </xf>
    <xf numFmtId="0" fontId="3" fillId="2" borderId="27" xfId="0" applyNumberFormat="1" applyFont="1" applyFill="1" applyBorder="1" applyAlignment="1" applyProtection="1">
      <alignment horizontal="left" vertical="center" wrapText="1" inden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/>
    </xf>
    <xf numFmtId="0" fontId="22" fillId="2" borderId="3" xfId="0" quotePrefix="1" applyFont="1" applyFill="1" applyBorder="1" applyAlignment="1">
      <alignment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23" fillId="2" borderId="3" xfId="0" applyNumberFormat="1" applyFont="1" applyFill="1" applyBorder="1" applyAlignment="1">
      <alignment horizontal="right"/>
    </xf>
    <xf numFmtId="3" fontId="23" fillId="2" borderId="16" xfId="0" applyNumberFormat="1" applyFont="1" applyFill="1" applyBorder="1" applyAlignment="1" applyProtection="1">
      <alignment horizontal="right" wrapText="1"/>
    </xf>
    <xf numFmtId="3" fontId="23" fillId="2" borderId="16" xfId="0" applyNumberFormat="1" applyFont="1" applyFill="1" applyBorder="1" applyAlignment="1">
      <alignment horizontal="right"/>
    </xf>
    <xf numFmtId="3" fontId="23" fillId="4" borderId="3" xfId="0" applyNumberFormat="1" applyFont="1" applyFill="1" applyBorder="1" applyAlignment="1">
      <alignment horizontal="right"/>
    </xf>
    <xf numFmtId="3" fontId="23" fillId="4" borderId="16" xfId="0" applyNumberFormat="1" applyFont="1" applyFill="1" applyBorder="1" applyAlignment="1">
      <alignment horizontal="right"/>
    </xf>
    <xf numFmtId="3" fontId="23" fillId="4" borderId="18" xfId="0" applyNumberFormat="1" applyFont="1" applyFill="1" applyBorder="1" applyAlignment="1">
      <alignment horizontal="right"/>
    </xf>
    <xf numFmtId="3" fontId="23" fillId="4" borderId="2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3" fontId="28" fillId="2" borderId="4" xfId="0" applyNumberFormat="1" applyFont="1" applyFill="1" applyBorder="1" applyAlignment="1">
      <alignment horizontal="right"/>
    </xf>
    <xf numFmtId="3" fontId="0" fillId="0" borderId="3" xfId="0" applyNumberFormat="1" applyBorder="1"/>
    <xf numFmtId="3" fontId="1" fillId="0" borderId="3" xfId="0" applyNumberFormat="1" applyFont="1" applyBorder="1"/>
    <xf numFmtId="3" fontId="0" fillId="0" borderId="0" xfId="0" applyNumberFormat="1"/>
    <xf numFmtId="3" fontId="0" fillId="2" borderId="3" xfId="0" applyNumberFormat="1" applyFill="1" applyBorder="1"/>
    <xf numFmtId="0" fontId="23" fillId="4" borderId="11" xfId="0" applyFont="1" applyFill="1" applyBorder="1" applyAlignment="1">
      <alignment wrapText="1"/>
    </xf>
    <xf numFmtId="3" fontId="7" fillId="4" borderId="12" xfId="0" applyNumberFormat="1" applyFont="1" applyFill="1" applyBorder="1" applyAlignment="1">
      <alignment horizontal="right"/>
    </xf>
    <xf numFmtId="3" fontId="9" fillId="4" borderId="12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3" fontId="23" fillId="5" borderId="4" xfId="0" applyNumberFormat="1" applyFont="1" applyFill="1" applyBorder="1" applyAlignment="1">
      <alignment horizontal="right"/>
    </xf>
    <xf numFmtId="3" fontId="23" fillId="5" borderId="15" xfId="0" applyNumberFormat="1" applyFont="1" applyFill="1" applyBorder="1" applyAlignment="1">
      <alignment horizontal="right"/>
    </xf>
    <xf numFmtId="3" fontId="7" fillId="4" borderId="19" xfId="0" applyNumberFormat="1" applyFont="1" applyFill="1" applyBorder="1" applyAlignment="1">
      <alignment horizontal="right"/>
    </xf>
    <xf numFmtId="3" fontId="9" fillId="4" borderId="18" xfId="0" applyNumberFormat="1" applyFont="1" applyFill="1" applyBorder="1" applyAlignment="1">
      <alignment horizontal="right"/>
    </xf>
    <xf numFmtId="3" fontId="23" fillId="5" borderId="12" xfId="0" applyNumberFormat="1" applyFont="1" applyFill="1" applyBorder="1" applyAlignment="1">
      <alignment horizontal="right"/>
    </xf>
    <xf numFmtId="3" fontId="7" fillId="5" borderId="12" xfId="0" applyNumberFormat="1" applyFont="1" applyFill="1" applyBorder="1" applyAlignment="1">
      <alignment horizontal="right"/>
    </xf>
    <xf numFmtId="3" fontId="9" fillId="5" borderId="12" xfId="0" applyNumberFormat="1" applyFont="1" applyFill="1" applyBorder="1" applyAlignment="1">
      <alignment horizontal="right"/>
    </xf>
    <xf numFmtId="3" fontId="23" fillId="5" borderId="13" xfId="0" applyNumberFormat="1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4" borderId="19" xfId="0" applyNumberFormat="1" applyFont="1" applyFill="1" applyBorder="1" applyAlignment="1">
      <alignment horizontal="right"/>
    </xf>
    <xf numFmtId="3" fontId="23" fillId="4" borderId="12" xfId="0" applyNumberFormat="1" applyFont="1" applyFill="1" applyBorder="1" applyAlignment="1">
      <alignment horizontal="right"/>
    </xf>
    <xf numFmtId="3" fontId="23" fillId="4" borderId="13" xfId="0" applyNumberFormat="1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3" fontId="21" fillId="2" borderId="21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23" fillId="5" borderId="3" xfId="0" applyNumberFormat="1" applyFont="1" applyFill="1" applyBorder="1"/>
    <xf numFmtId="3" fontId="23" fillId="5" borderId="16" xfId="0" applyNumberFormat="1" applyFont="1" applyFill="1" applyBorder="1"/>
    <xf numFmtId="3" fontId="7" fillId="2" borderId="3" xfId="0" applyNumberFormat="1" applyFont="1" applyFill="1" applyBorder="1"/>
    <xf numFmtId="3" fontId="23" fillId="2" borderId="3" xfId="0" applyNumberFormat="1" applyFont="1" applyFill="1" applyBorder="1"/>
    <xf numFmtId="3" fontId="23" fillId="2" borderId="16" xfId="0" applyNumberFormat="1" applyFont="1" applyFill="1" applyBorder="1"/>
    <xf numFmtId="3" fontId="21" fillId="2" borderId="3" xfId="0" applyNumberFormat="1" applyFont="1" applyFill="1" applyBorder="1"/>
    <xf numFmtId="3" fontId="21" fillId="2" borderId="16" xfId="0" applyNumberFormat="1" applyFont="1" applyFill="1" applyBorder="1"/>
    <xf numFmtId="3" fontId="7" fillId="4" borderId="18" xfId="0" applyNumberFormat="1" applyFont="1" applyFill="1" applyBorder="1"/>
    <xf numFmtId="3" fontId="9" fillId="4" borderId="18" xfId="0" applyNumberFormat="1" applyFont="1" applyFill="1" applyBorder="1"/>
    <xf numFmtId="3" fontId="23" fillId="4" borderId="18" xfId="0" applyNumberFormat="1" applyFont="1" applyFill="1" applyBorder="1"/>
    <xf numFmtId="3" fontId="23" fillId="4" borderId="20" xfId="0" applyNumberFormat="1" applyFont="1" applyFill="1" applyBorder="1"/>
    <xf numFmtId="3" fontId="25" fillId="2" borderId="0" xfId="0" applyNumberFormat="1" applyFont="1" applyFill="1" applyBorder="1"/>
    <xf numFmtId="3" fontId="26" fillId="2" borderId="0" xfId="0" applyNumberFormat="1" applyFont="1" applyFill="1" applyBorder="1"/>
    <xf numFmtId="3" fontId="7" fillId="4" borderId="11" xfId="0" applyNumberFormat="1" applyFont="1" applyFill="1" applyBorder="1"/>
    <xf numFmtId="3" fontId="9" fillId="4" borderId="11" xfId="0" applyNumberFormat="1" applyFont="1" applyFill="1" applyBorder="1"/>
    <xf numFmtId="3" fontId="23" fillId="4" borderId="11" xfId="0" applyNumberFormat="1" applyFont="1" applyFill="1" applyBorder="1"/>
    <xf numFmtId="3" fontId="23" fillId="4" borderId="25" xfId="0" applyNumberFormat="1" applyFont="1" applyFill="1" applyBorder="1"/>
    <xf numFmtId="3" fontId="7" fillId="5" borderId="3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3" fontId="23" fillId="5" borderId="3" xfId="0" applyNumberFormat="1" applyFont="1" applyFill="1" applyBorder="1" applyAlignment="1">
      <alignment horizontal="right"/>
    </xf>
    <xf numFmtId="3" fontId="23" fillId="5" borderId="16" xfId="0" applyNumberFormat="1" applyFont="1" applyFill="1" applyBorder="1" applyAlignment="1">
      <alignment horizontal="right"/>
    </xf>
    <xf numFmtId="3" fontId="21" fillId="4" borderId="4" xfId="0" applyNumberFormat="1" applyFont="1" applyFill="1" applyBorder="1" applyAlignment="1">
      <alignment horizontal="right"/>
    </xf>
    <xf numFmtId="3" fontId="7" fillId="4" borderId="12" xfId="0" applyNumberFormat="1" applyFont="1" applyFill="1" applyBorder="1"/>
    <xf numFmtId="3" fontId="9" fillId="4" borderId="12" xfId="0" applyNumberFormat="1" applyFont="1" applyFill="1" applyBorder="1"/>
    <xf numFmtId="3" fontId="23" fillId="4" borderId="12" xfId="0" applyNumberFormat="1" applyFont="1" applyFill="1" applyBorder="1"/>
    <xf numFmtId="3" fontId="23" fillId="4" borderId="13" xfId="0" applyNumberFormat="1" applyFont="1" applyFill="1" applyBorder="1"/>
    <xf numFmtId="3" fontId="7" fillId="4" borderId="3" xfId="0" applyNumberFormat="1" applyFont="1" applyFill="1" applyBorder="1"/>
    <xf numFmtId="3" fontId="23" fillId="4" borderId="3" xfId="0" applyNumberFormat="1" applyFont="1" applyFill="1" applyBorder="1"/>
    <xf numFmtId="3" fontId="23" fillId="4" borderId="16" xfId="0" applyNumberFormat="1" applyFont="1" applyFill="1" applyBorder="1"/>
    <xf numFmtId="3" fontId="23" fillId="4" borderId="4" xfId="0" applyNumberFormat="1" applyFont="1" applyFill="1" applyBorder="1" applyAlignment="1">
      <alignment horizontal="right"/>
    </xf>
    <xf numFmtId="3" fontId="23" fillId="4" borderId="15" xfId="0" applyNumberFormat="1" applyFont="1" applyFill="1" applyBorder="1" applyAlignment="1">
      <alignment horizontal="right"/>
    </xf>
    <xf numFmtId="3" fontId="21" fillId="5" borderId="3" xfId="0" applyNumberFormat="1" applyFont="1" applyFill="1" applyBorder="1"/>
    <xf numFmtId="3" fontId="21" fillId="4" borderId="18" xfId="0" applyNumberFormat="1" applyFont="1" applyFill="1" applyBorder="1"/>
    <xf numFmtId="3" fontId="21" fillId="4" borderId="20" xfId="0" applyNumberFormat="1" applyFont="1" applyFill="1" applyBorder="1"/>
    <xf numFmtId="3" fontId="28" fillId="0" borderId="30" xfId="0" applyNumberFormat="1" applyFont="1" applyBorder="1"/>
    <xf numFmtId="3" fontId="28" fillId="0" borderId="31" xfId="0" applyNumberFormat="1" applyFont="1" applyBorder="1"/>
    <xf numFmtId="0" fontId="9" fillId="2" borderId="9" xfId="0" quotePrefix="1" applyFont="1" applyFill="1" applyBorder="1" applyAlignment="1">
      <alignment horizontal="left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16" fillId="2" borderId="26" xfId="0" applyNumberFormat="1" applyFont="1" applyFill="1" applyBorder="1" applyAlignment="1" applyProtection="1">
      <alignment horizontal="left" vertical="center" wrapText="1"/>
    </xf>
    <xf numFmtId="0" fontId="16" fillId="2" borderId="27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3" fontId="3" fillId="2" borderId="16" xfId="0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 horizontal="right"/>
    </xf>
    <xf numFmtId="3" fontId="23" fillId="6" borderId="4" xfId="0" applyNumberFormat="1" applyFont="1" applyFill="1" applyBorder="1" applyAlignment="1">
      <alignment horizontal="right"/>
    </xf>
    <xf numFmtId="3" fontId="7" fillId="6" borderId="4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3" fontId="23" fillId="6" borderId="15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21" fillId="2" borderId="23" xfId="0" applyNumberFormat="1" applyFont="1" applyFill="1" applyBorder="1" applyAlignment="1" applyProtection="1">
      <alignment horizontal="right" wrapText="1"/>
    </xf>
    <xf numFmtId="3" fontId="21" fillId="2" borderId="12" xfId="0" applyNumberFormat="1" applyFont="1" applyFill="1" applyBorder="1" applyAlignment="1">
      <alignment horizontal="right"/>
    </xf>
    <xf numFmtId="3" fontId="21" fillId="2" borderId="11" xfId="0" applyNumberFormat="1" applyFont="1" applyFill="1" applyBorder="1" applyAlignment="1">
      <alignment horizontal="right"/>
    </xf>
    <xf numFmtId="3" fontId="21" fillId="2" borderId="25" xfId="0" applyNumberFormat="1" applyFont="1" applyFill="1" applyBorder="1" applyAlignment="1" applyProtection="1">
      <alignment horizontal="right" wrapText="1"/>
    </xf>
    <xf numFmtId="3" fontId="23" fillId="2" borderId="19" xfId="0" applyNumberFormat="1" applyFont="1" applyFill="1" applyBorder="1" applyAlignment="1">
      <alignment horizontal="right"/>
    </xf>
    <xf numFmtId="3" fontId="21" fillId="2" borderId="18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21" fillId="2" borderId="20" xfId="0" applyNumberFormat="1" applyFont="1" applyFill="1" applyBorder="1" applyAlignment="1" applyProtection="1">
      <alignment horizontal="right" wrapText="1"/>
    </xf>
    <xf numFmtId="3" fontId="7" fillId="6" borderId="15" xfId="0" applyNumberFormat="1" applyFont="1" applyFill="1" applyBorder="1" applyAlignment="1">
      <alignment horizontal="right"/>
    </xf>
    <xf numFmtId="3" fontId="7" fillId="5" borderId="15" xfId="0" applyNumberFormat="1" applyFont="1" applyFill="1" applyBorder="1" applyAlignment="1">
      <alignment horizontal="right"/>
    </xf>
    <xf numFmtId="3" fontId="7" fillId="2" borderId="27" xfId="0" applyNumberFormat="1" applyFont="1" applyFill="1" applyBorder="1" applyAlignment="1">
      <alignment horizontal="right"/>
    </xf>
    <xf numFmtId="3" fontId="21" fillId="2" borderId="27" xfId="0" applyNumberFormat="1" applyFont="1" applyFill="1" applyBorder="1" applyAlignment="1">
      <alignment horizontal="right"/>
    </xf>
    <xf numFmtId="3" fontId="21" fillId="2" borderId="28" xfId="0" applyNumberFormat="1" applyFont="1" applyFill="1" applyBorder="1" applyAlignment="1" applyProtection="1">
      <alignment horizontal="right" wrapText="1"/>
    </xf>
    <xf numFmtId="3" fontId="21" fillId="2" borderId="9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horizontal="right"/>
    </xf>
    <xf numFmtId="3" fontId="21" fillId="2" borderId="41" xfId="0" applyNumberFormat="1" applyFont="1" applyFill="1" applyBorder="1" applyAlignment="1" applyProtection="1">
      <alignment horizontal="right" wrapText="1"/>
    </xf>
    <xf numFmtId="3" fontId="7" fillId="4" borderId="9" xfId="0" applyNumberFormat="1" applyFont="1" applyFill="1" applyBorder="1" applyAlignment="1">
      <alignment horizontal="right"/>
    </xf>
    <xf numFmtId="3" fontId="9" fillId="4" borderId="9" xfId="0" applyNumberFormat="1" applyFont="1" applyFill="1" applyBorder="1" applyAlignment="1">
      <alignment horizontal="right"/>
    </xf>
    <xf numFmtId="3" fontId="23" fillId="4" borderId="9" xfId="0" applyNumberFormat="1" applyFont="1" applyFill="1" applyBorder="1" applyAlignment="1">
      <alignment horizontal="right"/>
    </xf>
    <xf numFmtId="3" fontId="23" fillId="4" borderId="24" xfId="0" applyNumberFormat="1" applyFont="1" applyFill="1" applyBorder="1" applyAlignment="1">
      <alignment horizontal="right"/>
    </xf>
    <xf numFmtId="3" fontId="7" fillId="7" borderId="4" xfId="0" applyNumberFormat="1" applyFont="1" applyFill="1" applyBorder="1" applyAlignment="1">
      <alignment horizontal="right"/>
    </xf>
    <xf numFmtId="3" fontId="9" fillId="7" borderId="4" xfId="0" applyNumberFormat="1" applyFont="1" applyFill="1" applyBorder="1" applyAlignment="1">
      <alignment horizontal="right"/>
    </xf>
    <xf numFmtId="3" fontId="23" fillId="7" borderId="4" xfId="0" applyNumberFormat="1" applyFont="1" applyFill="1" applyBorder="1" applyAlignment="1">
      <alignment horizontal="right"/>
    </xf>
    <xf numFmtId="3" fontId="23" fillId="7" borderId="15" xfId="0" applyNumberFormat="1" applyFont="1" applyFill="1" applyBorder="1" applyAlignment="1">
      <alignment horizontal="right"/>
    </xf>
    <xf numFmtId="3" fontId="7" fillId="8" borderId="4" xfId="0" applyNumberFormat="1" applyFont="1" applyFill="1" applyBorder="1" applyAlignment="1">
      <alignment horizontal="right"/>
    </xf>
    <xf numFmtId="3" fontId="23" fillId="8" borderId="4" xfId="0" applyNumberFormat="1" applyFont="1" applyFill="1" applyBorder="1" applyAlignment="1">
      <alignment horizontal="right"/>
    </xf>
    <xf numFmtId="3" fontId="23" fillId="8" borderId="15" xfId="0" applyNumberFormat="1" applyFont="1" applyFill="1" applyBorder="1" applyAlignment="1">
      <alignment horizontal="right"/>
    </xf>
    <xf numFmtId="3" fontId="21" fillId="2" borderId="23" xfId="0" applyNumberFormat="1" applyFont="1" applyFill="1" applyBorder="1" applyAlignment="1">
      <alignment horizontal="right"/>
    </xf>
    <xf numFmtId="3" fontId="21" fillId="2" borderId="28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21" fillId="2" borderId="7" xfId="0" applyNumberFormat="1" applyFont="1" applyFill="1" applyBorder="1" applyAlignment="1">
      <alignment horizontal="right"/>
    </xf>
    <xf numFmtId="3" fontId="7" fillId="2" borderId="19" xfId="0" applyNumberFormat="1" applyFont="1" applyFill="1" applyBorder="1" applyAlignment="1">
      <alignment horizontal="right"/>
    </xf>
    <xf numFmtId="3" fontId="7" fillId="9" borderId="4" xfId="0" applyNumberFormat="1" applyFont="1" applyFill="1" applyBorder="1" applyAlignment="1">
      <alignment horizontal="right"/>
    </xf>
    <xf numFmtId="3" fontId="23" fillId="9" borderId="4" xfId="0" applyNumberFormat="1" applyFont="1" applyFill="1" applyBorder="1" applyAlignment="1">
      <alignment horizontal="right"/>
    </xf>
    <xf numFmtId="3" fontId="23" fillId="9" borderId="15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 applyProtection="1">
      <alignment horizontal="right" wrapText="1"/>
    </xf>
    <xf numFmtId="3" fontId="9" fillId="8" borderId="4" xfId="0" applyNumberFormat="1" applyFont="1" applyFill="1" applyBorder="1" applyAlignment="1">
      <alignment horizontal="right"/>
    </xf>
    <xf numFmtId="3" fontId="21" fillId="2" borderId="41" xfId="0" applyNumberFormat="1" applyFont="1" applyFill="1" applyBorder="1" applyAlignment="1">
      <alignment horizontal="right"/>
    </xf>
    <xf numFmtId="3" fontId="7" fillId="8" borderId="9" xfId="0" applyNumberFormat="1" applyFont="1" applyFill="1" applyBorder="1" applyAlignment="1">
      <alignment horizontal="right"/>
    </xf>
    <xf numFmtId="3" fontId="28" fillId="8" borderId="9" xfId="0" applyNumberFormat="1" applyFont="1" applyFill="1" applyBorder="1" applyAlignment="1">
      <alignment horizontal="right"/>
    </xf>
    <xf numFmtId="3" fontId="23" fillId="8" borderId="9" xfId="0" applyNumberFormat="1" applyFont="1" applyFill="1" applyBorder="1" applyAlignment="1">
      <alignment horizontal="right"/>
    </xf>
    <xf numFmtId="3" fontId="23" fillId="8" borderId="24" xfId="0" applyNumberFormat="1" applyFont="1" applyFill="1" applyBorder="1" applyAlignment="1">
      <alignment horizontal="right"/>
    </xf>
    <xf numFmtId="3" fontId="21" fillId="2" borderId="19" xfId="0" applyNumberFormat="1" applyFont="1" applyFill="1" applyBorder="1" applyAlignment="1">
      <alignment horizontal="right"/>
    </xf>
    <xf numFmtId="3" fontId="9" fillId="9" borderId="4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3" fontId="23" fillId="2" borderId="23" xfId="0" applyNumberFormat="1" applyFont="1" applyFill="1" applyBorder="1" applyAlignment="1" applyProtection="1">
      <alignment horizontal="right" wrapText="1"/>
    </xf>
    <xf numFmtId="3" fontId="23" fillId="2" borderId="27" xfId="0" applyNumberFormat="1" applyFont="1" applyFill="1" applyBorder="1" applyAlignment="1">
      <alignment horizontal="right"/>
    </xf>
    <xf numFmtId="3" fontId="23" fillId="2" borderId="28" xfId="0" applyNumberFormat="1" applyFont="1" applyFill="1" applyBorder="1" applyAlignment="1" applyProtection="1">
      <alignment horizontal="right" wrapText="1"/>
    </xf>
    <xf numFmtId="3" fontId="23" fillId="2" borderId="8" xfId="0" applyNumberFormat="1" applyFont="1" applyFill="1" applyBorder="1" applyAlignment="1">
      <alignment horizontal="right"/>
    </xf>
    <xf numFmtId="3" fontId="23" fillId="2" borderId="41" xfId="0" applyNumberFormat="1" applyFont="1" applyFill="1" applyBorder="1" applyAlignment="1" applyProtection="1">
      <alignment horizontal="right" wrapText="1"/>
    </xf>
    <xf numFmtId="3" fontId="23" fillId="2" borderId="18" xfId="0" applyNumberFormat="1" applyFont="1" applyFill="1" applyBorder="1" applyAlignment="1">
      <alignment horizontal="right"/>
    </xf>
    <xf numFmtId="3" fontId="23" fillId="2" borderId="20" xfId="0" applyNumberFormat="1" applyFont="1" applyFill="1" applyBorder="1" applyAlignment="1" applyProtection="1">
      <alignment horizontal="right" wrapText="1"/>
    </xf>
    <xf numFmtId="3" fontId="23" fillId="6" borderId="3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23" fillId="9" borderId="3" xfId="0" applyNumberFormat="1" applyFont="1" applyFill="1" applyBorder="1" applyAlignment="1">
      <alignment horizontal="right"/>
    </xf>
    <xf numFmtId="3" fontId="7" fillId="9" borderId="3" xfId="0" applyNumberFormat="1" applyFont="1" applyFill="1" applyBorder="1" applyAlignment="1">
      <alignment horizontal="right"/>
    </xf>
    <xf numFmtId="3" fontId="7" fillId="9" borderId="16" xfId="0" applyNumberFormat="1" applyFont="1" applyFill="1" applyBorder="1" applyAlignment="1">
      <alignment horizontal="right"/>
    </xf>
    <xf numFmtId="3" fontId="9" fillId="6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9" fillId="8" borderId="9" xfId="0" applyNumberFormat="1" applyFont="1" applyFill="1" applyBorder="1" applyAlignment="1">
      <alignment horizontal="right"/>
    </xf>
    <xf numFmtId="3" fontId="28" fillId="4" borderId="4" xfId="0" applyNumberFormat="1" applyFont="1" applyFill="1" applyBorder="1" applyAlignment="1">
      <alignment horizontal="right"/>
    </xf>
    <xf numFmtId="3" fontId="28" fillId="6" borderId="4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2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2" borderId="36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8" borderId="36" xfId="0" applyNumberFormat="1" applyFont="1" applyFill="1" applyBorder="1" applyAlignment="1" applyProtection="1">
      <alignment horizontal="left" vertical="center" wrapText="1"/>
    </xf>
    <xf numFmtId="0" fontId="16" fillId="8" borderId="2" xfId="0" applyNumberFormat="1" applyFont="1" applyFill="1" applyBorder="1" applyAlignment="1" applyProtection="1">
      <alignment horizontal="left" vertical="center" wrapText="1"/>
    </xf>
    <xf numFmtId="0" fontId="16" fillId="8" borderId="4" xfId="0" applyNumberFormat="1" applyFont="1" applyFill="1" applyBorder="1" applyAlignment="1" applyProtection="1">
      <alignment horizontal="left" vertical="center" wrapText="1"/>
    </xf>
    <xf numFmtId="0" fontId="16" fillId="4" borderId="40" xfId="0" applyNumberFormat="1" applyFont="1" applyFill="1" applyBorder="1" applyAlignment="1" applyProtection="1">
      <alignment horizontal="left" vertical="center" wrapText="1"/>
    </xf>
    <xf numFmtId="0" fontId="16" fillId="4" borderId="5" xfId="0" applyNumberFormat="1" applyFont="1" applyFill="1" applyBorder="1" applyAlignment="1" applyProtection="1">
      <alignment horizontal="left" vertical="center" wrapText="1"/>
    </xf>
    <xf numFmtId="0" fontId="16" fillId="4" borderId="9" xfId="0" applyNumberFormat="1" applyFont="1" applyFill="1" applyBorder="1" applyAlignment="1" applyProtection="1">
      <alignment horizontal="left" vertical="center" wrapText="1"/>
    </xf>
    <xf numFmtId="0" fontId="6" fillId="2" borderId="40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0" fontId="16" fillId="8" borderId="40" xfId="0" applyNumberFormat="1" applyFont="1" applyFill="1" applyBorder="1" applyAlignment="1" applyProtection="1">
      <alignment horizontal="left" vertical="center" wrapText="1"/>
    </xf>
    <xf numFmtId="0" fontId="16" fillId="8" borderId="5" xfId="0" applyNumberFormat="1" applyFont="1" applyFill="1" applyBorder="1" applyAlignment="1" applyProtection="1">
      <alignment horizontal="left" vertical="center" wrapText="1"/>
    </xf>
    <xf numFmtId="0" fontId="16" fillId="8" borderId="9" xfId="0" applyNumberFormat="1" applyFont="1" applyFill="1" applyBorder="1" applyAlignment="1" applyProtection="1">
      <alignment horizontal="left" vertical="center" wrapText="1"/>
    </xf>
    <xf numFmtId="0" fontId="6" fillId="2" borderId="34" xfId="0" applyNumberFormat="1" applyFont="1" applyFill="1" applyBorder="1" applyAlignment="1" applyProtection="1">
      <alignment horizontal="left" vertical="center" wrapText="1"/>
    </xf>
    <xf numFmtId="0" fontId="6" fillId="2" borderId="35" xfId="0" applyNumberFormat="1" applyFont="1" applyFill="1" applyBorder="1" applyAlignment="1" applyProtection="1">
      <alignment horizontal="left" vertical="center" wrapText="1"/>
    </xf>
    <xf numFmtId="0" fontId="6" fillId="2" borderId="12" xfId="0" applyNumberFormat="1" applyFont="1" applyFill="1" applyBorder="1" applyAlignment="1" applyProtection="1">
      <alignment horizontal="left" vertical="center" wrapText="1"/>
    </xf>
    <xf numFmtId="0" fontId="16" fillId="4" borderId="36" xfId="0" applyNumberFormat="1" applyFont="1" applyFill="1" applyBorder="1" applyAlignment="1" applyProtection="1">
      <alignment horizontal="left" vertical="center" wrapText="1"/>
    </xf>
    <xf numFmtId="0" fontId="16" fillId="4" borderId="2" xfId="0" applyNumberFormat="1" applyFont="1" applyFill="1" applyBorder="1" applyAlignment="1" applyProtection="1">
      <alignment horizontal="left" vertical="center" wrapText="1"/>
    </xf>
    <xf numFmtId="0" fontId="16" fillId="4" borderId="4" xfId="0" applyNumberFormat="1" applyFont="1" applyFill="1" applyBorder="1" applyAlignment="1" applyProtection="1">
      <alignment horizontal="left" vertical="center" wrapText="1"/>
    </xf>
    <xf numFmtId="0" fontId="23" fillId="6" borderId="36" xfId="0" applyNumberFormat="1" applyFont="1" applyFill="1" applyBorder="1" applyAlignment="1" applyProtection="1">
      <alignment horizontal="left" vertical="center" wrapText="1"/>
    </xf>
    <xf numFmtId="0" fontId="23" fillId="6" borderId="2" xfId="0" applyNumberFormat="1" applyFont="1" applyFill="1" applyBorder="1" applyAlignment="1" applyProtection="1">
      <alignment horizontal="left" vertical="center" wrapText="1"/>
    </xf>
    <xf numFmtId="0" fontId="23" fillId="6" borderId="4" xfId="0" applyNumberFormat="1" applyFont="1" applyFill="1" applyBorder="1" applyAlignment="1" applyProtection="1">
      <alignment horizontal="left" vertical="center" wrapText="1"/>
    </xf>
    <xf numFmtId="0" fontId="6" fillId="5" borderId="36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 indent="1"/>
    </xf>
    <xf numFmtId="0" fontId="6" fillId="4" borderId="32" xfId="0" applyNumberFormat="1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1" fillId="0" borderId="0" xfId="0" applyFont="1"/>
    <xf numFmtId="0" fontId="29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opLeftCell="A31" zoomScale="80" zoomScaleNormal="80" workbookViewId="0">
      <selection activeCell="A47" sqref="A47:I48"/>
    </sheetView>
  </sheetViews>
  <sheetFormatPr defaultRowHeight="15" x14ac:dyDescent="0.25"/>
  <cols>
    <col min="5" max="10" width="25.28515625" customWidth="1"/>
  </cols>
  <sheetData>
    <row r="1" spans="1:10" ht="20.100000000000001" customHeight="1" x14ac:dyDescent="0.25">
      <c r="A1" s="391" t="s">
        <v>239</v>
      </c>
      <c r="B1" s="391"/>
      <c r="C1" s="391"/>
      <c r="D1" s="391"/>
      <c r="E1" s="386"/>
      <c r="F1" s="387"/>
      <c r="G1" s="388"/>
    </row>
    <row r="2" spans="1:10" ht="20.100000000000001" customHeight="1" x14ac:dyDescent="0.25">
      <c r="A2" s="389"/>
      <c r="B2" s="389"/>
      <c r="C2" s="389"/>
      <c r="D2" s="389"/>
      <c r="E2" s="386"/>
      <c r="F2" s="387"/>
      <c r="G2" s="388"/>
    </row>
    <row r="3" spans="1:10" ht="20.100000000000001" customHeight="1" x14ac:dyDescent="0.25">
      <c r="A3" s="392" t="s">
        <v>240</v>
      </c>
      <c r="B3" s="392"/>
      <c r="C3" s="392"/>
      <c r="D3" s="392"/>
      <c r="E3" s="386"/>
      <c r="F3" s="387"/>
      <c r="G3" s="388"/>
    </row>
    <row r="4" spans="1:10" ht="20.100000000000001" customHeight="1" x14ac:dyDescent="0.25">
      <c r="A4" s="392" t="s">
        <v>242</v>
      </c>
      <c r="B4" s="392"/>
      <c r="C4" s="392"/>
      <c r="D4" s="392"/>
      <c r="E4" s="386"/>
      <c r="F4" s="387"/>
      <c r="G4" s="388"/>
    </row>
    <row r="5" spans="1:10" ht="20.100000000000001" customHeight="1" x14ac:dyDescent="0.25">
      <c r="A5" s="392" t="s">
        <v>241</v>
      </c>
      <c r="B5" s="392"/>
      <c r="C5" s="392"/>
      <c r="D5" s="392"/>
      <c r="E5" s="386"/>
      <c r="F5" s="387"/>
      <c r="G5" s="388"/>
    </row>
    <row r="6" spans="1:10" ht="20.100000000000001" customHeight="1" x14ac:dyDescent="0.25">
      <c r="A6" s="25"/>
      <c r="B6" s="25"/>
      <c r="C6" s="25"/>
      <c r="D6" s="25"/>
      <c r="E6" s="386"/>
      <c r="F6" s="387"/>
      <c r="G6" s="388"/>
    </row>
    <row r="7" spans="1:10" ht="42" customHeight="1" x14ac:dyDescent="0.25">
      <c r="A7" s="397" t="s">
        <v>32</v>
      </c>
      <c r="B7" s="397"/>
      <c r="C7" s="397"/>
      <c r="D7" s="397"/>
      <c r="E7" s="397"/>
      <c r="F7" s="397"/>
      <c r="G7" s="397"/>
      <c r="H7" s="397"/>
      <c r="I7" s="397"/>
      <c r="J7" s="397"/>
    </row>
    <row r="8" spans="1:10" ht="18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5.75" x14ac:dyDescent="0.25">
      <c r="A9" s="397" t="s">
        <v>19</v>
      </c>
      <c r="B9" s="397"/>
      <c r="C9" s="397"/>
      <c r="D9" s="397"/>
      <c r="E9" s="397"/>
      <c r="F9" s="397"/>
      <c r="G9" s="397"/>
      <c r="H9" s="397"/>
      <c r="I9" s="410"/>
      <c r="J9" s="410"/>
    </row>
    <row r="10" spans="1:10" ht="18" x14ac:dyDescent="0.25">
      <c r="A10" s="25"/>
      <c r="B10" s="25"/>
      <c r="C10" s="25"/>
      <c r="D10" s="25"/>
      <c r="E10" s="25"/>
      <c r="F10" s="25"/>
      <c r="G10" s="25"/>
      <c r="H10" s="25"/>
      <c r="I10" s="5"/>
      <c r="J10" s="5"/>
    </row>
    <row r="11" spans="1:10" ht="15.75" x14ac:dyDescent="0.25">
      <c r="A11" s="397" t="s">
        <v>25</v>
      </c>
      <c r="B11" s="398"/>
      <c r="C11" s="398"/>
      <c r="D11" s="398"/>
      <c r="E11" s="398"/>
      <c r="F11" s="398"/>
      <c r="G11" s="398"/>
      <c r="H11" s="398"/>
      <c r="I11" s="398"/>
      <c r="J11" s="398"/>
    </row>
    <row r="12" spans="1:10" ht="18" x14ac:dyDescent="0.25">
      <c r="A12" s="1"/>
      <c r="B12" s="2"/>
      <c r="C12" s="2"/>
      <c r="D12" s="2"/>
      <c r="E12" s="6"/>
      <c r="F12" s="7"/>
      <c r="G12" s="7"/>
      <c r="H12" s="7"/>
      <c r="I12" s="7"/>
      <c r="J12" s="36" t="s">
        <v>37</v>
      </c>
    </row>
    <row r="13" spans="1:10" ht="25.5" x14ac:dyDescent="0.25">
      <c r="A13" s="29"/>
      <c r="B13" s="30"/>
      <c r="C13" s="30"/>
      <c r="D13" s="31"/>
      <c r="E13" s="32"/>
      <c r="F13" s="3" t="s">
        <v>38</v>
      </c>
      <c r="G13" s="3" t="s">
        <v>36</v>
      </c>
      <c r="H13" s="3" t="s">
        <v>46</v>
      </c>
      <c r="I13" s="3" t="s">
        <v>47</v>
      </c>
      <c r="J13" s="3" t="s">
        <v>48</v>
      </c>
    </row>
    <row r="14" spans="1:10" x14ac:dyDescent="0.25">
      <c r="A14" s="402" t="s">
        <v>0</v>
      </c>
      <c r="B14" s="396"/>
      <c r="C14" s="396"/>
      <c r="D14" s="396"/>
      <c r="E14" s="411"/>
      <c r="F14" s="33">
        <f>F15+F16</f>
        <v>931450.4797929523</v>
      </c>
      <c r="G14" s="33">
        <v>912185</v>
      </c>
      <c r="H14" s="33">
        <v>958750</v>
      </c>
      <c r="I14" s="33">
        <f t="shared" ref="I14:J14" si="0">I15+I16</f>
        <v>977925</v>
      </c>
      <c r="J14" s="33">
        <f t="shared" si="0"/>
        <v>997100</v>
      </c>
    </row>
    <row r="15" spans="1:10" x14ac:dyDescent="0.25">
      <c r="A15" s="412" t="s">
        <v>40</v>
      </c>
      <c r="B15" s="413"/>
      <c r="C15" s="413"/>
      <c r="D15" s="413"/>
      <c r="E15" s="409"/>
      <c r="F15" s="34">
        <f>7018013.64/7.5345</f>
        <v>931450.4797929523</v>
      </c>
      <c r="G15" s="34">
        <v>912184</v>
      </c>
      <c r="H15" s="34">
        <v>958750</v>
      </c>
      <c r="I15" s="34">
        <f>H15*1.02</f>
        <v>977925</v>
      </c>
      <c r="J15" s="34">
        <f>H15*1.04</f>
        <v>997100</v>
      </c>
    </row>
    <row r="16" spans="1:10" x14ac:dyDescent="0.25">
      <c r="A16" s="414" t="s">
        <v>41</v>
      </c>
      <c r="B16" s="409"/>
      <c r="C16" s="409"/>
      <c r="D16" s="409"/>
      <c r="E16" s="409"/>
      <c r="F16" s="34"/>
      <c r="G16" s="34"/>
      <c r="H16" s="34"/>
      <c r="I16" s="34"/>
      <c r="J16" s="34"/>
    </row>
    <row r="17" spans="1:10" x14ac:dyDescent="0.25">
      <c r="A17" s="37" t="s">
        <v>1</v>
      </c>
      <c r="B17" s="45"/>
      <c r="C17" s="45"/>
      <c r="D17" s="45"/>
      <c r="E17" s="45"/>
      <c r="F17" s="33">
        <f>F18+F19</f>
        <v>930356.37401287397</v>
      </c>
      <c r="G17" s="33">
        <f t="shared" ref="G17:J17" si="1">G18+G19</f>
        <v>914175.72000000009</v>
      </c>
      <c r="H17" s="33">
        <f t="shared" si="1"/>
        <v>958750</v>
      </c>
      <c r="I17" s="33">
        <f t="shared" si="1"/>
        <v>977925</v>
      </c>
      <c r="J17" s="33">
        <f t="shared" si="1"/>
        <v>997100</v>
      </c>
    </row>
    <row r="18" spans="1:10" x14ac:dyDescent="0.25">
      <c r="A18" s="415" t="s">
        <v>42</v>
      </c>
      <c r="B18" s="413"/>
      <c r="C18" s="413"/>
      <c r="D18" s="413"/>
      <c r="E18" s="413"/>
      <c r="F18" s="34">
        <f>7009770.1/7.5345</f>
        <v>930356.37401287397</v>
      </c>
      <c r="G18" s="34">
        <v>902230.67</v>
      </c>
      <c r="H18" s="34">
        <f>958750-12650</f>
        <v>946100</v>
      </c>
      <c r="I18" s="34">
        <f>H18*1.02</f>
        <v>965022</v>
      </c>
      <c r="J18" s="46">
        <f>H18*1.04</f>
        <v>983944</v>
      </c>
    </row>
    <row r="19" spans="1:10" x14ac:dyDescent="0.25">
      <c r="A19" s="408" t="s">
        <v>43</v>
      </c>
      <c r="B19" s="409"/>
      <c r="C19" s="409"/>
      <c r="D19" s="409"/>
      <c r="E19" s="409"/>
      <c r="F19" s="47"/>
      <c r="G19" s="47">
        <v>11945.05</v>
      </c>
      <c r="H19" s="47">
        <v>12650</v>
      </c>
      <c r="I19" s="47">
        <f>H19*1.02</f>
        <v>12903</v>
      </c>
      <c r="J19" s="46">
        <f>H19*1.04</f>
        <v>13156</v>
      </c>
    </row>
    <row r="20" spans="1:10" x14ac:dyDescent="0.25">
      <c r="A20" s="395" t="s">
        <v>69</v>
      </c>
      <c r="B20" s="396"/>
      <c r="C20" s="396"/>
      <c r="D20" s="396"/>
      <c r="E20" s="396"/>
      <c r="F20" s="33">
        <f>F14-F17</f>
        <v>1094.105780078331</v>
      </c>
      <c r="G20" s="33">
        <f>G14-G17</f>
        <v>-1990.7200000000885</v>
      </c>
      <c r="H20" s="33">
        <f t="shared" ref="H20:J20" si="2">H14-H17</f>
        <v>0</v>
      </c>
      <c r="I20" s="33">
        <f t="shared" si="2"/>
        <v>0</v>
      </c>
      <c r="J20" s="33">
        <f t="shared" si="2"/>
        <v>0</v>
      </c>
    </row>
    <row r="21" spans="1:10" ht="18" x14ac:dyDescent="0.25">
      <c r="A21" s="25"/>
      <c r="B21" s="23"/>
      <c r="C21" s="23"/>
      <c r="D21" s="23"/>
      <c r="E21" s="23"/>
      <c r="F21" s="23"/>
      <c r="G21" s="23"/>
      <c r="H21" s="24"/>
      <c r="I21" s="24"/>
      <c r="J21" s="24"/>
    </row>
    <row r="22" spans="1:10" ht="15.75" x14ac:dyDescent="0.25">
      <c r="A22" s="397" t="s">
        <v>26</v>
      </c>
      <c r="B22" s="398"/>
      <c r="C22" s="398"/>
      <c r="D22" s="398"/>
      <c r="E22" s="398"/>
      <c r="F22" s="398"/>
      <c r="G22" s="398"/>
      <c r="H22" s="398"/>
      <c r="I22" s="398"/>
      <c r="J22" s="398"/>
    </row>
    <row r="23" spans="1:10" ht="18" x14ac:dyDescent="0.25">
      <c r="A23" s="25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25.5" x14ac:dyDescent="0.25">
      <c r="A24" s="29"/>
      <c r="B24" s="30"/>
      <c r="C24" s="30"/>
      <c r="D24" s="31"/>
      <c r="E24" s="32"/>
      <c r="F24" s="3" t="s">
        <v>38</v>
      </c>
      <c r="G24" s="3" t="s">
        <v>36</v>
      </c>
      <c r="H24" s="3" t="s">
        <v>46</v>
      </c>
      <c r="I24" s="3" t="s">
        <v>47</v>
      </c>
      <c r="J24" s="3" t="s">
        <v>48</v>
      </c>
    </row>
    <row r="25" spans="1:10" x14ac:dyDescent="0.25">
      <c r="A25" s="408" t="s">
        <v>44</v>
      </c>
      <c r="B25" s="409"/>
      <c r="C25" s="409"/>
      <c r="D25" s="409"/>
      <c r="E25" s="409"/>
      <c r="F25" s="47"/>
      <c r="G25" s="47"/>
      <c r="H25" s="47"/>
      <c r="I25" s="47"/>
      <c r="J25" s="46"/>
    </row>
    <row r="26" spans="1:10" x14ac:dyDescent="0.25">
      <c r="A26" s="408" t="s">
        <v>45</v>
      </c>
      <c r="B26" s="409"/>
      <c r="C26" s="409"/>
      <c r="D26" s="409"/>
      <c r="E26" s="409"/>
      <c r="F26" s="47"/>
      <c r="G26" s="47"/>
      <c r="H26" s="47"/>
      <c r="I26" s="47"/>
      <c r="J26" s="46"/>
    </row>
    <row r="27" spans="1:10" x14ac:dyDescent="0.25">
      <c r="A27" s="395" t="s">
        <v>2</v>
      </c>
      <c r="B27" s="396"/>
      <c r="C27" s="396"/>
      <c r="D27" s="396"/>
      <c r="E27" s="396"/>
      <c r="F27" s="33">
        <f>F25-F26</f>
        <v>0</v>
      </c>
      <c r="G27" s="33">
        <f t="shared" ref="G27:J27" si="3">G25-G26</f>
        <v>0</v>
      </c>
      <c r="H27" s="33">
        <f t="shared" si="3"/>
        <v>0</v>
      </c>
      <c r="I27" s="33">
        <f t="shared" si="3"/>
        <v>0</v>
      </c>
      <c r="J27" s="33">
        <f t="shared" si="3"/>
        <v>0</v>
      </c>
    </row>
    <row r="28" spans="1:10" x14ac:dyDescent="0.25">
      <c r="A28" s="395" t="s">
        <v>70</v>
      </c>
      <c r="B28" s="396"/>
      <c r="C28" s="396"/>
      <c r="D28" s="396"/>
      <c r="E28" s="396"/>
      <c r="F28" s="33">
        <f>F20+F27</f>
        <v>1094.105780078331</v>
      </c>
      <c r="G28" s="33">
        <f t="shared" ref="G28:J28" si="4">G20+G27</f>
        <v>-1990.7200000000885</v>
      </c>
      <c r="H28" s="33">
        <f t="shared" si="4"/>
        <v>0</v>
      </c>
      <c r="I28" s="33">
        <f t="shared" si="4"/>
        <v>0</v>
      </c>
      <c r="J28" s="33">
        <f t="shared" si="4"/>
        <v>0</v>
      </c>
    </row>
    <row r="29" spans="1:10" ht="18" x14ac:dyDescent="0.25">
      <c r="A29" s="22"/>
      <c r="B29" s="23"/>
      <c r="C29" s="23"/>
      <c r="D29" s="23"/>
      <c r="E29" s="23"/>
      <c r="F29" s="23"/>
      <c r="G29" s="23"/>
      <c r="H29" s="24"/>
      <c r="I29" s="24"/>
      <c r="J29" s="24"/>
    </row>
    <row r="30" spans="1:10" ht="15.75" x14ac:dyDescent="0.25">
      <c r="A30" s="397" t="s">
        <v>71</v>
      </c>
      <c r="B30" s="398"/>
      <c r="C30" s="398"/>
      <c r="D30" s="398"/>
      <c r="E30" s="398"/>
      <c r="F30" s="398"/>
      <c r="G30" s="398"/>
      <c r="H30" s="398"/>
      <c r="I30" s="398"/>
      <c r="J30" s="398"/>
    </row>
    <row r="31" spans="1:10" ht="15.75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25.5" x14ac:dyDescent="0.25">
      <c r="A32" s="29"/>
      <c r="B32" s="30"/>
      <c r="C32" s="30"/>
      <c r="D32" s="31"/>
      <c r="E32" s="32"/>
      <c r="F32" s="3" t="s">
        <v>38</v>
      </c>
      <c r="G32" s="3" t="s">
        <v>36</v>
      </c>
      <c r="H32" s="3" t="s">
        <v>46</v>
      </c>
      <c r="I32" s="3" t="s">
        <v>47</v>
      </c>
      <c r="J32" s="3" t="s">
        <v>48</v>
      </c>
    </row>
    <row r="33" spans="1:10" ht="15" customHeight="1" x14ac:dyDescent="0.25">
      <c r="A33" s="399" t="s">
        <v>72</v>
      </c>
      <c r="B33" s="400"/>
      <c r="C33" s="400"/>
      <c r="D33" s="400"/>
      <c r="E33" s="401"/>
      <c r="F33" s="48">
        <v>24502</v>
      </c>
      <c r="G33" s="48">
        <v>25596</v>
      </c>
      <c r="H33" s="48">
        <v>23604</v>
      </c>
      <c r="I33" s="48">
        <f>H33*1.02</f>
        <v>24076.080000000002</v>
      </c>
      <c r="J33" s="49">
        <f>H33*1.04</f>
        <v>24548.16</v>
      </c>
    </row>
    <row r="34" spans="1:10" ht="15" customHeight="1" x14ac:dyDescent="0.25">
      <c r="A34" s="395" t="s">
        <v>73</v>
      </c>
      <c r="B34" s="396"/>
      <c r="C34" s="396"/>
      <c r="D34" s="396"/>
      <c r="E34" s="396"/>
      <c r="F34" s="50">
        <f>F33+F28</f>
        <v>25596.105780078331</v>
      </c>
      <c r="G34" s="50">
        <f>G28+G33</f>
        <v>23605.279999999912</v>
      </c>
      <c r="H34" s="50">
        <f>H28+H33</f>
        <v>23604</v>
      </c>
      <c r="I34" s="50">
        <f t="shared" ref="I34:J34" si="5">I28+I33</f>
        <v>24076.080000000002</v>
      </c>
      <c r="J34" s="51">
        <f t="shared" si="5"/>
        <v>24548.16</v>
      </c>
    </row>
    <row r="35" spans="1:10" ht="45" customHeight="1" x14ac:dyDescent="0.25">
      <c r="A35" s="402" t="s">
        <v>74</v>
      </c>
      <c r="B35" s="403"/>
      <c r="C35" s="403"/>
      <c r="D35" s="403"/>
      <c r="E35" s="404"/>
      <c r="F35" s="50"/>
      <c r="G35" s="50"/>
      <c r="H35" s="50"/>
      <c r="I35" s="50">
        <f t="shared" ref="I35:J35" si="6">I20+I27+I33-I34</f>
        <v>0</v>
      </c>
      <c r="J35" s="51">
        <f t="shared" si="6"/>
        <v>0</v>
      </c>
    </row>
    <row r="36" spans="1:10" ht="15.75" x14ac:dyDescent="0.25">
      <c r="A36" s="52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5.75" x14ac:dyDescent="0.25">
      <c r="A37" s="405" t="s">
        <v>68</v>
      </c>
      <c r="B37" s="405"/>
      <c r="C37" s="405"/>
      <c r="D37" s="405"/>
      <c r="E37" s="405"/>
      <c r="F37" s="405"/>
      <c r="G37" s="405"/>
      <c r="H37" s="405"/>
      <c r="I37" s="405"/>
      <c r="J37" s="405"/>
    </row>
    <row r="38" spans="1:10" ht="18" x14ac:dyDescent="0.25">
      <c r="A38" s="54"/>
      <c r="B38" s="55"/>
      <c r="C38" s="55"/>
      <c r="D38" s="55"/>
      <c r="E38" s="55"/>
      <c r="F38" s="55"/>
      <c r="G38" s="55"/>
      <c r="H38" s="56"/>
      <c r="I38" s="56"/>
      <c r="J38" s="56"/>
    </row>
    <row r="39" spans="1:10" ht="25.5" x14ac:dyDescent="0.25">
      <c r="A39" s="57"/>
      <c r="B39" s="58"/>
      <c r="C39" s="58"/>
      <c r="D39" s="59"/>
      <c r="E39" s="60"/>
      <c r="F39" s="61" t="s">
        <v>38</v>
      </c>
      <c r="G39" s="61" t="s">
        <v>36</v>
      </c>
      <c r="H39" s="61" t="s">
        <v>46</v>
      </c>
      <c r="I39" s="61" t="s">
        <v>47</v>
      </c>
      <c r="J39" s="61" t="s">
        <v>48</v>
      </c>
    </row>
    <row r="40" spans="1:10" x14ac:dyDescent="0.25">
      <c r="A40" s="399" t="s">
        <v>72</v>
      </c>
      <c r="B40" s="400"/>
      <c r="C40" s="400"/>
      <c r="D40" s="400"/>
      <c r="E40" s="401"/>
      <c r="F40" s="48">
        <v>24502</v>
      </c>
      <c r="G40" s="48">
        <f>F43</f>
        <v>25596</v>
      </c>
      <c r="H40" s="48">
        <f>G43</f>
        <v>23604</v>
      </c>
      <c r="I40" s="48">
        <f>H43</f>
        <v>18604</v>
      </c>
      <c r="J40" s="49">
        <f>I43</f>
        <v>13604</v>
      </c>
    </row>
    <row r="41" spans="1:10" ht="28.5" customHeight="1" x14ac:dyDescent="0.25">
      <c r="A41" s="399" t="s">
        <v>75</v>
      </c>
      <c r="B41" s="400"/>
      <c r="C41" s="400"/>
      <c r="D41" s="400"/>
      <c r="E41" s="401"/>
      <c r="F41" s="48">
        <v>0</v>
      </c>
      <c r="G41" s="48">
        <v>1992</v>
      </c>
      <c r="H41" s="48">
        <v>5000</v>
      </c>
      <c r="I41" s="48">
        <v>5000</v>
      </c>
      <c r="J41" s="49">
        <v>5000</v>
      </c>
    </row>
    <row r="42" spans="1:10" x14ac:dyDescent="0.25">
      <c r="A42" s="399" t="s">
        <v>76</v>
      </c>
      <c r="B42" s="406"/>
      <c r="C42" s="406"/>
      <c r="D42" s="406"/>
      <c r="E42" s="407"/>
      <c r="F42" s="48">
        <v>1094</v>
      </c>
      <c r="G42" s="48">
        <v>0</v>
      </c>
      <c r="H42" s="48"/>
      <c r="I42" s="48">
        <v>0</v>
      </c>
      <c r="J42" s="49">
        <v>0</v>
      </c>
    </row>
    <row r="43" spans="1:10" ht="15" customHeight="1" x14ac:dyDescent="0.25">
      <c r="A43" s="395" t="s">
        <v>73</v>
      </c>
      <c r="B43" s="396"/>
      <c r="C43" s="396"/>
      <c r="D43" s="396"/>
      <c r="E43" s="396"/>
      <c r="F43" s="35">
        <f>F40-F41+F42</f>
        <v>25596</v>
      </c>
      <c r="G43" s="35">
        <f t="shared" ref="G43:J43" si="7">G40-G41+G42</f>
        <v>23604</v>
      </c>
      <c r="H43" s="35">
        <f t="shared" si="7"/>
        <v>18604</v>
      </c>
      <c r="I43" s="35">
        <f t="shared" si="7"/>
        <v>13604</v>
      </c>
      <c r="J43" s="62">
        <f t="shared" si="7"/>
        <v>8604</v>
      </c>
    </row>
    <row r="44" spans="1:10" ht="17.25" customHeight="1" x14ac:dyDescent="0.25"/>
    <row r="45" spans="1:10" x14ac:dyDescent="0.25">
      <c r="A45" s="393" t="s">
        <v>39</v>
      </c>
      <c r="B45" s="394"/>
      <c r="C45" s="394"/>
      <c r="D45" s="394"/>
      <c r="E45" s="394"/>
      <c r="F45" s="394"/>
      <c r="G45" s="394"/>
      <c r="H45" s="394"/>
      <c r="I45" s="394"/>
      <c r="J45" s="394"/>
    </row>
    <row r="46" spans="1:10" ht="9" customHeight="1" x14ac:dyDescent="0.25"/>
    <row r="47" spans="1:10" x14ac:dyDescent="0.25">
      <c r="A47" t="s">
        <v>247</v>
      </c>
      <c r="F47" t="s">
        <v>243</v>
      </c>
      <c r="I47" t="s">
        <v>246</v>
      </c>
    </row>
    <row r="48" spans="1:10" x14ac:dyDescent="0.25">
      <c r="A48" t="s">
        <v>248</v>
      </c>
      <c r="F48" t="s">
        <v>244</v>
      </c>
      <c r="I48" t="s">
        <v>245</v>
      </c>
    </row>
  </sheetData>
  <mergeCells count="28">
    <mergeCell ref="A26:E26"/>
    <mergeCell ref="A7:J7"/>
    <mergeCell ref="A9:J9"/>
    <mergeCell ref="A11:J11"/>
    <mergeCell ref="A14:E14"/>
    <mergeCell ref="A15:E15"/>
    <mergeCell ref="A16:E16"/>
    <mergeCell ref="A18:E18"/>
    <mergeCell ref="A19:E19"/>
    <mergeCell ref="A20:E20"/>
    <mergeCell ref="A22:J22"/>
    <mergeCell ref="A25:E25"/>
    <mergeCell ref="A1:D1"/>
    <mergeCell ref="A3:D3"/>
    <mergeCell ref="A4:D4"/>
    <mergeCell ref="A5:D5"/>
    <mergeCell ref="A45:J45"/>
    <mergeCell ref="A27:E27"/>
    <mergeCell ref="A28:E28"/>
    <mergeCell ref="A30:J30"/>
    <mergeCell ref="A33:E33"/>
    <mergeCell ref="A34:E34"/>
    <mergeCell ref="A35:E35"/>
    <mergeCell ref="A37:J37"/>
    <mergeCell ref="A40:E40"/>
    <mergeCell ref="A41:E41"/>
    <mergeCell ref="A42:E42"/>
    <mergeCell ref="A43:E43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3"/>
  <sheetViews>
    <sheetView topLeftCell="A223" zoomScaleNormal="100" workbookViewId="0">
      <selection activeCell="A232" sqref="A232:H233"/>
    </sheetView>
  </sheetViews>
  <sheetFormatPr defaultRowHeight="15" x14ac:dyDescent="0.25"/>
  <cols>
    <col min="1" max="1" width="7.5703125" style="141" bestFit="1" customWidth="1"/>
    <col min="2" max="2" width="8.5703125" style="141" bestFit="1" customWidth="1"/>
    <col min="3" max="8" width="25.28515625" style="141" customWidth="1"/>
    <col min="9" max="9" width="11.28515625" bestFit="1" customWidth="1"/>
  </cols>
  <sheetData>
    <row r="1" spans="1:8" ht="42" customHeight="1" x14ac:dyDescent="0.25">
      <c r="A1" s="397" t="s">
        <v>32</v>
      </c>
      <c r="B1" s="397"/>
      <c r="C1" s="397"/>
      <c r="D1" s="397"/>
      <c r="E1" s="397"/>
      <c r="F1" s="397"/>
      <c r="G1" s="397"/>
      <c r="H1" s="397"/>
    </row>
    <row r="2" spans="1:8" ht="18" customHeight="1" x14ac:dyDescent="0.25">
      <c r="A2" s="25"/>
      <c r="B2" s="25"/>
      <c r="C2" s="25"/>
      <c r="D2" s="25"/>
      <c r="E2" s="25"/>
      <c r="F2" s="25"/>
      <c r="G2" s="25"/>
      <c r="H2" s="25"/>
    </row>
    <row r="3" spans="1:8" ht="15.75" customHeight="1" x14ac:dyDescent="0.25">
      <c r="A3" s="397" t="s">
        <v>19</v>
      </c>
      <c r="B3" s="397"/>
      <c r="C3" s="397"/>
      <c r="D3" s="397"/>
      <c r="E3" s="397"/>
      <c r="F3" s="397"/>
      <c r="G3" s="397"/>
      <c r="H3" s="397"/>
    </row>
    <row r="4" spans="1:8" ht="18" x14ac:dyDescent="0.25">
      <c r="A4" s="25"/>
      <c r="B4" s="25"/>
      <c r="C4" s="25"/>
      <c r="D4" s="25"/>
      <c r="E4" s="25"/>
      <c r="F4" s="25"/>
      <c r="G4" s="5"/>
      <c r="H4" s="5"/>
    </row>
    <row r="5" spans="1:8" ht="18" customHeight="1" x14ac:dyDescent="0.25">
      <c r="A5" s="397" t="s">
        <v>4</v>
      </c>
      <c r="B5" s="397"/>
      <c r="C5" s="397"/>
      <c r="D5" s="397"/>
      <c r="E5" s="397"/>
      <c r="F5" s="397"/>
      <c r="G5" s="397"/>
      <c r="H5" s="397"/>
    </row>
    <row r="6" spans="1:8" ht="18" x14ac:dyDescent="0.25">
      <c r="A6" s="25"/>
      <c r="B6" s="25"/>
      <c r="C6" s="25"/>
      <c r="D6" s="25"/>
      <c r="E6" s="25"/>
      <c r="F6" s="25"/>
      <c r="G6" s="5"/>
      <c r="H6" s="5"/>
    </row>
    <row r="7" spans="1:8" ht="15.75" customHeight="1" x14ac:dyDescent="0.25">
      <c r="A7" s="397" t="s">
        <v>49</v>
      </c>
      <c r="B7" s="397"/>
      <c r="C7" s="397"/>
      <c r="D7" s="397"/>
      <c r="E7" s="397"/>
      <c r="F7" s="397"/>
      <c r="G7" s="397"/>
      <c r="H7" s="397"/>
    </row>
    <row r="8" spans="1:8" ht="18" x14ac:dyDescent="0.25">
      <c r="A8" s="25"/>
      <c r="B8" s="25"/>
      <c r="C8" s="25"/>
      <c r="D8" s="25"/>
      <c r="E8" s="25"/>
      <c r="F8" s="25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35</v>
      </c>
      <c r="E9" s="21" t="s">
        <v>36</v>
      </c>
      <c r="F9" s="21" t="s">
        <v>33</v>
      </c>
      <c r="G9" s="21" t="s">
        <v>27</v>
      </c>
      <c r="H9" s="21" t="s">
        <v>34</v>
      </c>
    </row>
    <row r="10" spans="1:8" x14ac:dyDescent="0.25">
      <c r="A10" s="39"/>
      <c r="B10" s="40"/>
      <c r="C10" s="38" t="s">
        <v>0</v>
      </c>
      <c r="D10" s="234">
        <f>D11</f>
        <v>931450.07</v>
      </c>
      <c r="E10" s="234">
        <f t="shared" ref="E10:H10" si="0">E11</f>
        <v>912184.88</v>
      </c>
      <c r="F10" s="234">
        <f t="shared" si="0"/>
        <v>958750</v>
      </c>
      <c r="G10" s="234">
        <f t="shared" si="0"/>
        <v>977925</v>
      </c>
      <c r="H10" s="234">
        <f t="shared" si="0"/>
        <v>997100</v>
      </c>
    </row>
    <row r="11" spans="1:8" ht="15.75" customHeight="1" x14ac:dyDescent="0.25">
      <c r="A11" s="61">
        <v>6</v>
      </c>
      <c r="B11" s="11"/>
      <c r="C11" s="11" t="s">
        <v>7</v>
      </c>
      <c r="D11" s="150">
        <f>D12+D18+D21+D26</f>
        <v>931450.07</v>
      </c>
      <c r="E11" s="150">
        <f t="shared" ref="E11:H11" si="1">E12+E18+E21+E26</f>
        <v>912184.88</v>
      </c>
      <c r="F11" s="150">
        <f t="shared" si="1"/>
        <v>958750</v>
      </c>
      <c r="G11" s="150">
        <f t="shared" si="1"/>
        <v>977925</v>
      </c>
      <c r="H11" s="150">
        <f t="shared" si="1"/>
        <v>997100</v>
      </c>
    </row>
    <row r="12" spans="1:8" ht="38.25" x14ac:dyDescent="0.25">
      <c r="A12" s="11"/>
      <c r="B12" s="61">
        <v>63</v>
      </c>
      <c r="C12" s="26" t="s">
        <v>29</v>
      </c>
      <c r="D12" s="232">
        <f>D13+D16</f>
        <v>819563.04999999993</v>
      </c>
      <c r="E12" s="232">
        <f>E13+E16</f>
        <v>812550.78999999992</v>
      </c>
      <c r="F12" s="232">
        <f>F13+F16</f>
        <v>875800</v>
      </c>
      <c r="G12" s="232">
        <f>G13+G16</f>
        <v>893316</v>
      </c>
      <c r="H12" s="232">
        <f>H13+H16</f>
        <v>910832</v>
      </c>
    </row>
    <row r="13" spans="1:8" ht="25.5" x14ac:dyDescent="0.25">
      <c r="A13" s="11"/>
      <c r="B13" s="16">
        <v>636</v>
      </c>
      <c r="C13" s="16" t="s">
        <v>224</v>
      </c>
      <c r="D13" s="8">
        <f>D14+D15</f>
        <v>799579.47</v>
      </c>
      <c r="E13" s="8">
        <f>E14+E15</f>
        <v>786234.91999999993</v>
      </c>
      <c r="F13" s="8">
        <f>F14+F15</f>
        <v>842000</v>
      </c>
      <c r="G13" s="8">
        <f>G14+G15</f>
        <v>858840</v>
      </c>
      <c r="H13" s="8">
        <f>H14+H15</f>
        <v>875680</v>
      </c>
    </row>
    <row r="14" spans="1:8" x14ac:dyDescent="0.25">
      <c r="A14" s="11"/>
      <c r="B14" s="16">
        <v>6361</v>
      </c>
      <c r="C14" s="16" t="s">
        <v>225</v>
      </c>
      <c r="D14" s="8">
        <v>798077.48</v>
      </c>
      <c r="E14" s="9">
        <v>774953.48</v>
      </c>
      <c r="F14" s="9">
        <v>830000</v>
      </c>
      <c r="G14" s="9">
        <f>F14*1.02</f>
        <v>846600</v>
      </c>
      <c r="H14" s="9">
        <f>F14*1.04</f>
        <v>863200</v>
      </c>
    </row>
    <row r="15" spans="1:8" x14ac:dyDescent="0.25">
      <c r="A15" s="11"/>
      <c r="B15" s="16">
        <v>6362</v>
      </c>
      <c r="C15" s="16" t="s">
        <v>226</v>
      </c>
      <c r="D15" s="8">
        <v>1501.99</v>
      </c>
      <c r="E15" s="9">
        <v>11281.44</v>
      </c>
      <c r="F15" s="9">
        <v>12000</v>
      </c>
      <c r="G15" s="9">
        <f>F15*1.02</f>
        <v>12240</v>
      </c>
      <c r="H15" s="9">
        <f>F15*1.04</f>
        <v>12480</v>
      </c>
    </row>
    <row r="16" spans="1:8" ht="25.5" x14ac:dyDescent="0.25">
      <c r="A16" s="11"/>
      <c r="B16" s="12">
        <v>638</v>
      </c>
      <c r="C16" s="18" t="s">
        <v>227</v>
      </c>
      <c r="D16" s="8">
        <f>D17</f>
        <v>19983.580000000002</v>
      </c>
      <c r="E16" s="8">
        <f>E17</f>
        <v>26315.87</v>
      </c>
      <c r="F16" s="8">
        <f>F17</f>
        <v>33800</v>
      </c>
      <c r="G16" s="8">
        <f>G17</f>
        <v>34476</v>
      </c>
      <c r="H16" s="8">
        <f>H17</f>
        <v>35152</v>
      </c>
    </row>
    <row r="17" spans="1:8" ht="25.5" x14ac:dyDescent="0.25">
      <c r="A17" s="11"/>
      <c r="B17" s="12">
        <v>6381</v>
      </c>
      <c r="C17" s="18" t="s">
        <v>228</v>
      </c>
      <c r="D17" s="8">
        <v>19983.580000000002</v>
      </c>
      <c r="E17" s="9">
        <v>26315.87</v>
      </c>
      <c r="F17" s="9">
        <v>33800</v>
      </c>
      <c r="G17" s="9">
        <f>F17*1.02</f>
        <v>34476</v>
      </c>
      <c r="H17" s="9">
        <f>F17*1.04</f>
        <v>35152</v>
      </c>
    </row>
    <row r="18" spans="1:8" ht="76.5" x14ac:dyDescent="0.25">
      <c r="A18" s="12"/>
      <c r="B18" s="231">
        <v>65</v>
      </c>
      <c r="C18" s="233" t="s">
        <v>77</v>
      </c>
      <c r="D18" s="232">
        <f t="shared" ref="D18:H19" si="2">D19</f>
        <v>46754.39</v>
      </c>
      <c r="E18" s="232">
        <f t="shared" si="2"/>
        <v>42888.04</v>
      </c>
      <c r="F18" s="232">
        <f t="shared" si="2"/>
        <v>25650</v>
      </c>
      <c r="G18" s="232">
        <f t="shared" si="2"/>
        <v>26163</v>
      </c>
      <c r="H18" s="232">
        <f t="shared" si="2"/>
        <v>26676</v>
      </c>
    </row>
    <row r="19" spans="1:8" x14ac:dyDescent="0.25">
      <c r="A19" s="12"/>
      <c r="B19" s="28">
        <v>652</v>
      </c>
      <c r="C19" s="70" t="s">
        <v>229</v>
      </c>
      <c r="D19" s="8">
        <f t="shared" si="2"/>
        <v>46754.39</v>
      </c>
      <c r="E19" s="8">
        <f t="shared" si="2"/>
        <v>42888.04</v>
      </c>
      <c r="F19" s="8">
        <f t="shared" si="2"/>
        <v>25650</v>
      </c>
      <c r="G19" s="8">
        <f t="shared" si="2"/>
        <v>26163</v>
      </c>
      <c r="H19" s="8">
        <f t="shared" si="2"/>
        <v>26676</v>
      </c>
    </row>
    <row r="20" spans="1:8" x14ac:dyDescent="0.25">
      <c r="A20" s="12"/>
      <c r="B20" s="12">
        <v>6526</v>
      </c>
      <c r="C20" s="70" t="s">
        <v>230</v>
      </c>
      <c r="D20" s="8">
        <v>46754.39</v>
      </c>
      <c r="E20" s="9">
        <v>42888.04</v>
      </c>
      <c r="F20" s="9">
        <v>25650</v>
      </c>
      <c r="G20" s="9">
        <f>F20*1.02</f>
        <v>26163</v>
      </c>
      <c r="H20" s="9">
        <f>F20*1.04</f>
        <v>26676</v>
      </c>
    </row>
    <row r="21" spans="1:8" ht="51" x14ac:dyDescent="0.25">
      <c r="A21" s="12"/>
      <c r="B21" s="231">
        <v>66</v>
      </c>
      <c r="C21" s="233" t="s">
        <v>150</v>
      </c>
      <c r="D21" s="232">
        <f>D22+D24</f>
        <v>7067.52</v>
      </c>
      <c r="E21" s="232">
        <f>E22+E24</f>
        <v>5587.63</v>
      </c>
      <c r="F21" s="232">
        <f>F22+F24</f>
        <v>4000</v>
      </c>
      <c r="G21" s="232">
        <f>G22+G24</f>
        <v>4080</v>
      </c>
      <c r="H21" s="232">
        <f>H22+H24</f>
        <v>4160</v>
      </c>
    </row>
    <row r="22" spans="1:8" ht="25.5" x14ac:dyDescent="0.25">
      <c r="A22" s="12"/>
      <c r="B22" s="12">
        <v>661</v>
      </c>
      <c r="C22" s="70" t="s">
        <v>231</v>
      </c>
      <c r="D22" s="8">
        <f>D23</f>
        <v>5055.08</v>
      </c>
      <c r="E22" s="8">
        <f>E23</f>
        <v>5587.63</v>
      </c>
      <c r="F22" s="8">
        <f>F23</f>
        <v>2500</v>
      </c>
      <c r="G22" s="8">
        <f>G23</f>
        <v>2550</v>
      </c>
      <c r="H22" s="8">
        <f>H23</f>
        <v>2600</v>
      </c>
    </row>
    <row r="23" spans="1:8" x14ac:dyDescent="0.25">
      <c r="A23" s="12"/>
      <c r="B23" s="12">
        <v>6615</v>
      </c>
      <c r="C23" s="70" t="s">
        <v>232</v>
      </c>
      <c r="D23" s="8">
        <v>5055.08</v>
      </c>
      <c r="E23" s="9">
        <v>5587.63</v>
      </c>
      <c r="F23" s="9">
        <v>2500</v>
      </c>
      <c r="G23" s="9">
        <f>F23*1.02</f>
        <v>2550</v>
      </c>
      <c r="H23" s="9">
        <f>F23*1.04</f>
        <v>2600</v>
      </c>
    </row>
    <row r="24" spans="1:8" ht="38.25" x14ac:dyDescent="0.25">
      <c r="A24" s="12"/>
      <c r="B24" s="12">
        <v>663</v>
      </c>
      <c r="C24" s="70" t="s">
        <v>233</v>
      </c>
      <c r="D24" s="8">
        <f>D25</f>
        <v>2012.44</v>
      </c>
      <c r="E24" s="8">
        <f>E25</f>
        <v>0</v>
      </c>
      <c r="F24" s="8">
        <f>F25</f>
        <v>1500</v>
      </c>
      <c r="G24" s="8">
        <f>G25</f>
        <v>1530</v>
      </c>
      <c r="H24" s="8">
        <f>H25</f>
        <v>1560</v>
      </c>
    </row>
    <row r="25" spans="1:8" x14ac:dyDescent="0.25">
      <c r="A25" s="12"/>
      <c r="B25" s="12">
        <v>6631</v>
      </c>
      <c r="C25" s="70" t="s">
        <v>234</v>
      </c>
      <c r="D25" s="8">
        <v>2012.44</v>
      </c>
      <c r="E25" s="9">
        <v>0</v>
      </c>
      <c r="F25" s="9">
        <v>1500</v>
      </c>
      <c r="G25" s="9">
        <f>F25*1.02</f>
        <v>1530</v>
      </c>
      <c r="H25" s="9">
        <f>F25*1.04</f>
        <v>1560</v>
      </c>
    </row>
    <row r="26" spans="1:8" ht="51" x14ac:dyDescent="0.25">
      <c r="A26" s="12"/>
      <c r="B26" s="231">
        <v>67</v>
      </c>
      <c r="C26" s="26" t="s">
        <v>30</v>
      </c>
      <c r="D26" s="232">
        <f t="shared" ref="D26:H27" si="3">D27</f>
        <v>58065.11</v>
      </c>
      <c r="E26" s="232">
        <f t="shared" si="3"/>
        <v>51158.42</v>
      </c>
      <c r="F26" s="232">
        <f t="shared" si="3"/>
        <v>53300</v>
      </c>
      <c r="G26" s="232">
        <f t="shared" si="3"/>
        <v>54366</v>
      </c>
      <c r="H26" s="232">
        <f t="shared" si="3"/>
        <v>55432</v>
      </c>
    </row>
    <row r="27" spans="1:8" ht="38.25" x14ac:dyDescent="0.25">
      <c r="A27" s="12"/>
      <c r="B27" s="12">
        <v>671</v>
      </c>
      <c r="C27" s="16" t="s">
        <v>235</v>
      </c>
      <c r="D27" s="8">
        <f t="shared" si="3"/>
        <v>58065.11</v>
      </c>
      <c r="E27" s="8">
        <f t="shared" si="3"/>
        <v>51158.42</v>
      </c>
      <c r="F27" s="8">
        <f t="shared" si="3"/>
        <v>53300</v>
      </c>
      <c r="G27" s="8">
        <f t="shared" si="3"/>
        <v>54366</v>
      </c>
      <c r="H27" s="8">
        <f t="shared" si="3"/>
        <v>55432</v>
      </c>
    </row>
    <row r="28" spans="1:8" ht="38.25" x14ac:dyDescent="0.25">
      <c r="A28" s="12"/>
      <c r="B28" s="12">
        <v>6711</v>
      </c>
      <c r="C28" s="16" t="s">
        <v>236</v>
      </c>
      <c r="D28" s="8">
        <f>3960.08+54105.03</f>
        <v>58065.11</v>
      </c>
      <c r="E28" s="9">
        <f>47196.25+3962.17</f>
        <v>51158.42</v>
      </c>
      <c r="F28" s="9">
        <f>49800+3500</f>
        <v>53300</v>
      </c>
      <c r="G28" s="9">
        <f>F28*1.02</f>
        <v>54366</v>
      </c>
      <c r="H28" s="9">
        <f>F28*1.04</f>
        <v>55432</v>
      </c>
    </row>
    <row r="29" spans="1:8" x14ac:dyDescent="0.25">
      <c r="A29" s="12"/>
      <c r="B29" s="12"/>
      <c r="C29" s="16"/>
      <c r="D29" s="8"/>
      <c r="E29" s="9"/>
      <c r="F29" s="9"/>
      <c r="G29" s="9"/>
      <c r="H29" s="9"/>
    </row>
    <row r="30" spans="1:8" x14ac:dyDescent="0.25">
      <c r="A30" s="12"/>
      <c r="B30" s="12"/>
      <c r="C30" s="16"/>
      <c r="D30" s="8"/>
      <c r="E30" s="9"/>
      <c r="F30" s="9"/>
      <c r="G30" s="9"/>
      <c r="H30" s="9"/>
    </row>
    <row r="31" spans="1:8" ht="25.5" x14ac:dyDescent="0.25">
      <c r="A31" s="14">
        <v>7</v>
      </c>
      <c r="B31" s="15"/>
      <c r="C31" s="26" t="s">
        <v>8</v>
      </c>
      <c r="D31" s="8"/>
      <c r="E31" s="9"/>
      <c r="F31" s="9"/>
      <c r="G31" s="9"/>
      <c r="H31" s="9"/>
    </row>
    <row r="32" spans="1:8" ht="38.25" x14ac:dyDescent="0.25">
      <c r="A32" s="16"/>
      <c r="B32" s="16">
        <v>72</v>
      </c>
      <c r="C32" s="27" t="s">
        <v>28</v>
      </c>
      <c r="D32" s="8"/>
      <c r="E32" s="9"/>
      <c r="F32" s="9"/>
      <c r="G32" s="9"/>
      <c r="H32" s="10"/>
    </row>
    <row r="33" spans="1:8" x14ac:dyDescent="0.25">
      <c r="D33" s="142"/>
      <c r="E33" s="142"/>
      <c r="F33" s="142"/>
    </row>
    <row r="35" spans="1:8" x14ac:dyDescent="0.25">
      <c r="A35" s="397" t="s">
        <v>50</v>
      </c>
      <c r="B35" s="416"/>
      <c r="C35" s="416"/>
      <c r="D35" s="416"/>
      <c r="E35" s="416"/>
      <c r="F35" s="416"/>
      <c r="G35" s="416"/>
      <c r="H35" s="416"/>
    </row>
    <row r="36" spans="1:8" ht="18" x14ac:dyDescent="0.25">
      <c r="A36" s="25"/>
      <c r="B36" s="25"/>
      <c r="C36" s="25"/>
      <c r="D36" s="25"/>
      <c r="E36" s="25"/>
      <c r="F36" s="25"/>
      <c r="G36" s="5"/>
      <c r="H36" s="5"/>
    </row>
    <row r="37" spans="1:8" ht="26.25" thickBot="1" x14ac:dyDescent="0.3">
      <c r="A37" s="86" t="s">
        <v>5</v>
      </c>
      <c r="B37" s="87" t="s">
        <v>6</v>
      </c>
      <c r="C37" s="87" t="s">
        <v>9</v>
      </c>
      <c r="D37" s="87" t="s">
        <v>35</v>
      </c>
      <c r="E37" s="86" t="s">
        <v>36</v>
      </c>
      <c r="F37" s="86" t="s">
        <v>33</v>
      </c>
      <c r="G37" s="86" t="s">
        <v>27</v>
      </c>
      <c r="H37" s="86" t="s">
        <v>34</v>
      </c>
    </row>
    <row r="38" spans="1:8" x14ac:dyDescent="0.25">
      <c r="A38" s="88">
        <v>3</v>
      </c>
      <c r="B38" s="89"/>
      <c r="C38" s="89" t="s">
        <v>10</v>
      </c>
      <c r="D38" s="250">
        <f>SUM(D39+D50)</f>
        <v>3014.5402634547745</v>
      </c>
      <c r="E38" s="250">
        <f>SUM(E39+E50)</f>
        <v>3962.17</v>
      </c>
      <c r="F38" s="251">
        <f>SUM(F39+F50)</f>
        <v>3500</v>
      </c>
      <c r="G38" s="251">
        <f>SUM(G39+G50)</f>
        <v>3570</v>
      </c>
      <c r="H38" s="251">
        <f t="shared" ref="H38" si="4">SUM(H39+H50)</f>
        <v>3640</v>
      </c>
    </row>
    <row r="39" spans="1:8" x14ac:dyDescent="0.25">
      <c r="A39" s="90"/>
      <c r="B39" s="71">
        <v>31</v>
      </c>
      <c r="C39" s="71" t="s">
        <v>11</v>
      </c>
      <c r="D39" s="252">
        <f>SUM(D46+D40+D44)</f>
        <v>2954.8702634547744</v>
      </c>
      <c r="E39" s="252">
        <f t="shared" ref="E39" si="5">SUM(E46+E40+E44)</f>
        <v>3875.9</v>
      </c>
      <c r="F39" s="253">
        <f>SUM(F46+F40+F44)</f>
        <v>3400</v>
      </c>
      <c r="G39" s="254">
        <f>F39*1.02</f>
        <v>3468</v>
      </c>
      <c r="H39" s="255">
        <f>F39*1.04</f>
        <v>3536</v>
      </c>
    </row>
    <row r="40" spans="1:8" x14ac:dyDescent="0.25">
      <c r="A40" s="91"/>
      <c r="B40" s="16">
        <v>311</v>
      </c>
      <c r="C40" s="16" t="s">
        <v>79</v>
      </c>
      <c r="D40" s="78">
        <f>SUM(D41:D43)</f>
        <v>2488.3615369301215</v>
      </c>
      <c r="E40" s="78">
        <f>SUM(E41:E43)</f>
        <v>3292.59</v>
      </c>
      <c r="F40" s="78">
        <f t="shared" ref="F40" si="6">SUM(F41:F43)</f>
        <v>2100</v>
      </c>
      <c r="G40" s="76"/>
      <c r="H40" s="99"/>
    </row>
    <row r="41" spans="1:8" x14ac:dyDescent="0.25">
      <c r="A41" s="91"/>
      <c r="B41" s="16">
        <v>3111</v>
      </c>
      <c r="C41" s="16" t="s">
        <v>80</v>
      </c>
      <c r="D41" s="78">
        <f>10508.56/7.5345</f>
        <v>1394.7255955936025</v>
      </c>
      <c r="E41" s="78">
        <v>3292.59</v>
      </c>
      <c r="F41" s="80">
        <v>2100</v>
      </c>
      <c r="G41" s="72"/>
      <c r="H41" s="92"/>
    </row>
    <row r="42" spans="1:8" x14ac:dyDescent="0.25">
      <c r="A42" s="91"/>
      <c r="B42" s="16">
        <v>3113</v>
      </c>
      <c r="C42" s="16" t="s">
        <v>81</v>
      </c>
      <c r="D42" s="78">
        <f>8240/7.5345</f>
        <v>1093.6359413365187</v>
      </c>
      <c r="E42" s="76"/>
      <c r="F42" s="72"/>
      <c r="G42" s="72"/>
      <c r="H42" s="92"/>
    </row>
    <row r="43" spans="1:8" ht="25.5" x14ac:dyDescent="0.25">
      <c r="A43" s="91"/>
      <c r="B43" s="16">
        <v>3114</v>
      </c>
      <c r="C43" s="16" t="s">
        <v>82</v>
      </c>
      <c r="D43" s="76"/>
      <c r="E43" s="76"/>
      <c r="F43" s="72"/>
      <c r="G43" s="72"/>
      <c r="H43" s="92"/>
    </row>
    <row r="44" spans="1:8" x14ac:dyDescent="0.25">
      <c r="A44" s="91"/>
      <c r="B44" s="16">
        <v>312</v>
      </c>
      <c r="C44" s="16" t="s">
        <v>83</v>
      </c>
      <c r="D44" s="78">
        <f>SUM(D45)</f>
        <v>79.633685048775632</v>
      </c>
      <c r="E44" s="78">
        <f t="shared" ref="E44:F44" si="7">SUM(E45)</f>
        <v>40.08</v>
      </c>
      <c r="F44" s="78">
        <f t="shared" si="7"/>
        <v>700</v>
      </c>
      <c r="G44" s="76"/>
      <c r="H44" s="99"/>
    </row>
    <row r="45" spans="1:8" x14ac:dyDescent="0.25">
      <c r="A45" s="91"/>
      <c r="B45" s="16">
        <v>3121</v>
      </c>
      <c r="C45" s="16" t="s">
        <v>83</v>
      </c>
      <c r="D45" s="78">
        <f>600/7.5345</f>
        <v>79.633685048775632</v>
      </c>
      <c r="E45" s="78">
        <v>40.08</v>
      </c>
      <c r="F45" s="80">
        <v>700</v>
      </c>
      <c r="G45" s="72"/>
      <c r="H45" s="92"/>
    </row>
    <row r="46" spans="1:8" x14ac:dyDescent="0.25">
      <c r="A46" s="91"/>
      <c r="B46" s="16">
        <v>313</v>
      </c>
      <c r="C46" s="16" t="s">
        <v>84</v>
      </c>
      <c r="D46" s="78">
        <f>SUM(D47)</f>
        <v>386.87504147587759</v>
      </c>
      <c r="E46" s="78">
        <f t="shared" ref="E46:F46" si="8">SUM(E47)</f>
        <v>543.23</v>
      </c>
      <c r="F46" s="78">
        <f t="shared" si="8"/>
        <v>600</v>
      </c>
      <c r="G46" s="76"/>
      <c r="H46" s="99"/>
    </row>
    <row r="47" spans="1:8" x14ac:dyDescent="0.25">
      <c r="A47" s="91"/>
      <c r="B47" s="16">
        <v>3132</v>
      </c>
      <c r="C47" s="16" t="s">
        <v>85</v>
      </c>
      <c r="D47" s="78">
        <f>(2914.91/7.5345)</f>
        <v>386.87504147587759</v>
      </c>
      <c r="E47" s="78">
        <v>543.23</v>
      </c>
      <c r="F47" s="80">
        <v>600</v>
      </c>
      <c r="G47" s="72"/>
      <c r="H47" s="92"/>
    </row>
    <row r="48" spans="1:8" ht="15.75" thickBot="1" x14ac:dyDescent="0.3">
      <c r="A48" s="93"/>
      <c r="B48" s="94"/>
      <c r="C48" s="95" t="s">
        <v>86</v>
      </c>
      <c r="D48" s="256">
        <f>D39</f>
        <v>2954.8702634547744</v>
      </c>
      <c r="E48" s="116">
        <v>3875.9</v>
      </c>
      <c r="F48" s="257">
        <f>F39</f>
        <v>3400</v>
      </c>
      <c r="G48" s="240">
        <f>F48*1.02</f>
        <v>3468</v>
      </c>
      <c r="H48" s="241">
        <f>F48*1.04</f>
        <v>3536</v>
      </c>
    </row>
    <row r="49" spans="1:8" ht="5.25" customHeight="1" thickBot="1" x14ac:dyDescent="0.3">
      <c r="A49" s="84"/>
      <c r="B49" s="84"/>
      <c r="C49" s="85"/>
      <c r="D49" s="113"/>
      <c r="E49" s="113"/>
      <c r="F49" s="114"/>
      <c r="G49" s="242"/>
      <c r="H49" s="242"/>
    </row>
    <row r="50" spans="1:8" x14ac:dyDescent="0.25">
      <c r="A50" s="96"/>
      <c r="B50" s="97">
        <v>32</v>
      </c>
      <c r="C50" s="97" t="s">
        <v>22</v>
      </c>
      <c r="D50" s="258">
        <f>SUM(D51+D53)</f>
        <v>59.67</v>
      </c>
      <c r="E50" s="259">
        <f t="shared" ref="E50:F50" si="9">SUM(E51+E53)</f>
        <v>86.27</v>
      </c>
      <c r="F50" s="260">
        <f t="shared" si="9"/>
        <v>100</v>
      </c>
      <c r="G50" s="258">
        <f>F50*1.02</f>
        <v>102</v>
      </c>
      <c r="H50" s="261">
        <f>F50*1.04</f>
        <v>104</v>
      </c>
    </row>
    <row r="51" spans="1:8" x14ac:dyDescent="0.25">
      <c r="A51" s="98"/>
      <c r="B51" s="12">
        <v>321</v>
      </c>
      <c r="C51" s="12" t="s">
        <v>87</v>
      </c>
      <c r="D51" s="262">
        <f>SUM(D52)</f>
        <v>59.67</v>
      </c>
      <c r="E51" s="78">
        <f t="shared" ref="E51:F51" si="10">SUM(E52)</f>
        <v>86.27</v>
      </c>
      <c r="F51" s="78">
        <f t="shared" si="10"/>
        <v>100</v>
      </c>
      <c r="G51" s="76"/>
      <c r="H51" s="99"/>
    </row>
    <row r="52" spans="1:8" x14ac:dyDescent="0.25">
      <c r="A52" s="98"/>
      <c r="B52" s="12">
        <v>3212</v>
      </c>
      <c r="C52" s="12" t="s">
        <v>88</v>
      </c>
      <c r="D52" s="262">
        <v>59.67</v>
      </c>
      <c r="E52" s="78">
        <v>86.27</v>
      </c>
      <c r="F52" s="80">
        <v>100</v>
      </c>
      <c r="G52" s="72"/>
      <c r="H52" s="92"/>
    </row>
    <row r="53" spans="1:8" ht="25.5" x14ac:dyDescent="0.25">
      <c r="A53" s="98"/>
      <c r="B53" s="12">
        <v>329</v>
      </c>
      <c r="C53" s="77" t="s">
        <v>89</v>
      </c>
      <c r="D53" s="262">
        <f>SUM(D54)</f>
        <v>0</v>
      </c>
      <c r="E53" s="78">
        <f t="shared" ref="E53:F53" si="11">SUM(E54)</f>
        <v>0</v>
      </c>
      <c r="F53" s="78">
        <f t="shared" si="11"/>
        <v>0</v>
      </c>
      <c r="G53" s="76"/>
      <c r="H53" s="99"/>
    </row>
    <row r="54" spans="1:8" ht="25.5" x14ac:dyDescent="0.25">
      <c r="A54" s="98"/>
      <c r="B54" s="12">
        <v>3291</v>
      </c>
      <c r="C54" s="77" t="s">
        <v>90</v>
      </c>
      <c r="D54" s="262">
        <v>0</v>
      </c>
      <c r="E54" s="76"/>
      <c r="F54" s="72"/>
      <c r="G54" s="72"/>
      <c r="H54" s="92"/>
    </row>
    <row r="55" spans="1:8" ht="15.75" thickBot="1" x14ac:dyDescent="0.3">
      <c r="A55" s="93"/>
      <c r="B55" s="94"/>
      <c r="C55" s="95" t="s">
        <v>86</v>
      </c>
      <c r="D55" s="263">
        <v>59.67</v>
      </c>
      <c r="E55" s="116">
        <v>86.27</v>
      </c>
      <c r="F55" s="257">
        <f>F50</f>
        <v>100</v>
      </c>
      <c r="G55" s="240">
        <f>G50</f>
        <v>102</v>
      </c>
      <c r="H55" s="241">
        <f>H50</f>
        <v>104</v>
      </c>
    </row>
    <row r="56" spans="1:8" ht="24.75" customHeight="1" thickBot="1" x14ac:dyDescent="0.3">
      <c r="A56" s="84"/>
      <c r="B56" s="84"/>
      <c r="C56" s="85"/>
      <c r="D56" s="114"/>
      <c r="E56" s="113"/>
      <c r="F56" s="114"/>
      <c r="G56" s="114"/>
      <c r="H56" s="114"/>
    </row>
    <row r="57" spans="1:8" x14ac:dyDescent="0.25">
      <c r="A57" s="102">
        <v>3</v>
      </c>
      <c r="B57" s="103"/>
      <c r="C57" s="104" t="s">
        <v>10</v>
      </c>
      <c r="D57" s="250">
        <f>SUM(D58+D66)</f>
        <v>128.43984338708606</v>
      </c>
      <c r="E57" s="250">
        <f>SUM(E58+E66)</f>
        <v>5587.63</v>
      </c>
      <c r="F57" s="251">
        <f>SUM(F58+F66)</f>
        <v>4000</v>
      </c>
      <c r="G57" s="264">
        <f>SUM(G58+G66)</f>
        <v>4080</v>
      </c>
      <c r="H57" s="265">
        <f>SUM(H58+H66)</f>
        <v>4160</v>
      </c>
    </row>
    <row r="58" spans="1:8" x14ac:dyDescent="0.25">
      <c r="A58" s="105"/>
      <c r="B58" s="75">
        <v>31</v>
      </c>
      <c r="C58" s="71" t="s">
        <v>11</v>
      </c>
      <c r="D58" s="252">
        <f>SUM(D59+D62)</f>
        <v>97.699913730174515</v>
      </c>
      <c r="E58" s="252">
        <f>SUM(E59+E62)</f>
        <v>943.12999999999988</v>
      </c>
      <c r="F58" s="253">
        <f t="shared" ref="F58" si="12">SUM(F59+F62)</f>
        <v>1000</v>
      </c>
      <c r="G58" s="254">
        <f>F58*1.02</f>
        <v>1020</v>
      </c>
      <c r="H58" s="255">
        <f>F58*1.04</f>
        <v>1040</v>
      </c>
    </row>
    <row r="59" spans="1:8" x14ac:dyDescent="0.25">
      <c r="A59" s="98"/>
      <c r="B59" s="12">
        <v>311</v>
      </c>
      <c r="C59" s="16" t="s">
        <v>79</v>
      </c>
      <c r="D59" s="78">
        <f>SUM(D60:D61)</f>
        <v>83.858252040613166</v>
      </c>
      <c r="E59" s="78">
        <f t="shared" ref="E59:F59" si="13">SUM(E60:E61)</f>
        <v>809.6099999999999</v>
      </c>
      <c r="F59" s="78">
        <f t="shared" si="13"/>
        <v>850</v>
      </c>
      <c r="G59" s="76"/>
      <c r="H59" s="99"/>
    </row>
    <row r="60" spans="1:8" x14ac:dyDescent="0.25">
      <c r="A60" s="98"/>
      <c r="B60" s="12">
        <v>3113</v>
      </c>
      <c r="C60" s="16" t="s">
        <v>81</v>
      </c>
      <c r="D60" s="78">
        <f>572.53/7.5345</f>
        <v>75.987789501625841</v>
      </c>
      <c r="E60" s="80">
        <v>703.43</v>
      </c>
      <c r="F60" s="80">
        <v>730</v>
      </c>
      <c r="G60" s="72"/>
      <c r="H60" s="92"/>
    </row>
    <row r="61" spans="1:8" x14ac:dyDescent="0.25">
      <c r="A61" s="98"/>
      <c r="B61" s="12">
        <v>3114</v>
      </c>
      <c r="C61" s="13" t="s">
        <v>82</v>
      </c>
      <c r="D61" s="78">
        <f>59.3/7.5345</f>
        <v>7.870462538987324</v>
      </c>
      <c r="E61" s="80">
        <v>106.18</v>
      </c>
      <c r="F61" s="80">
        <v>120</v>
      </c>
      <c r="G61" s="72"/>
      <c r="H61" s="92"/>
    </row>
    <row r="62" spans="1:8" x14ac:dyDescent="0.25">
      <c r="A62" s="98"/>
      <c r="B62" s="12">
        <v>313</v>
      </c>
      <c r="C62" s="16" t="s">
        <v>84</v>
      </c>
      <c r="D62" s="78">
        <f>SUM(D63)</f>
        <v>13.84166168956135</v>
      </c>
      <c r="E62" s="78">
        <f t="shared" ref="E62:F62" si="14">SUM(E63)</f>
        <v>133.52000000000001</v>
      </c>
      <c r="F62" s="78">
        <f t="shared" si="14"/>
        <v>150</v>
      </c>
      <c r="G62" s="76"/>
      <c r="H62" s="99"/>
    </row>
    <row r="63" spans="1:8" x14ac:dyDescent="0.25">
      <c r="A63" s="98"/>
      <c r="B63" s="12">
        <v>3132</v>
      </c>
      <c r="C63" s="16" t="s">
        <v>85</v>
      </c>
      <c r="D63" s="78">
        <f>104.29/7.5345</f>
        <v>13.84166168956135</v>
      </c>
      <c r="E63" s="80">
        <v>133.52000000000001</v>
      </c>
      <c r="F63" s="80">
        <v>150</v>
      </c>
      <c r="G63" s="72"/>
      <c r="H63" s="92"/>
    </row>
    <row r="64" spans="1:8" ht="15.75" thickBot="1" x14ac:dyDescent="0.3">
      <c r="A64" s="93"/>
      <c r="B64" s="94"/>
      <c r="C64" s="95" t="s">
        <v>91</v>
      </c>
      <c r="D64" s="256">
        <v>97.7</v>
      </c>
      <c r="E64" s="116">
        <v>943.13</v>
      </c>
      <c r="F64" s="257">
        <f>F58</f>
        <v>1000</v>
      </c>
      <c r="G64" s="240">
        <f>G58</f>
        <v>1020</v>
      </c>
      <c r="H64" s="241">
        <f>H58</f>
        <v>1040</v>
      </c>
    </row>
    <row r="65" spans="1:8" ht="7.5" customHeight="1" thickBot="1" x14ac:dyDescent="0.3">
      <c r="A65" s="84"/>
      <c r="B65" s="84"/>
      <c r="C65" s="85"/>
      <c r="D65" s="113"/>
      <c r="E65" s="113"/>
      <c r="F65" s="114"/>
      <c r="G65" s="114"/>
      <c r="H65" s="114"/>
    </row>
    <row r="66" spans="1:8" x14ac:dyDescent="0.25">
      <c r="A66" s="96"/>
      <c r="B66" s="97">
        <v>32</v>
      </c>
      <c r="C66" s="97" t="s">
        <v>22</v>
      </c>
      <c r="D66" s="259">
        <f>SUM(D67+D73+D77)</f>
        <v>30.739929656911542</v>
      </c>
      <c r="E66" s="259">
        <f t="shared" ref="E66" si="15">SUM(E67+E73+E77)</f>
        <v>4644.5</v>
      </c>
      <c r="F66" s="260">
        <f>SUM(F67+F73+F77)</f>
        <v>3000</v>
      </c>
      <c r="G66" s="258">
        <f>F66*1.02</f>
        <v>3060</v>
      </c>
      <c r="H66" s="261">
        <f>F66*1.04</f>
        <v>3120</v>
      </c>
    </row>
    <row r="67" spans="1:8" x14ac:dyDescent="0.25">
      <c r="A67" s="98"/>
      <c r="B67" s="12">
        <v>322</v>
      </c>
      <c r="C67" s="13" t="s">
        <v>92</v>
      </c>
      <c r="D67" s="78">
        <f>SUM(D68:D72)</f>
        <v>0</v>
      </c>
      <c r="E67" s="78">
        <f t="shared" ref="E67:F67" si="16">SUM(E68:E72)</f>
        <v>2255.4899999999998</v>
      </c>
      <c r="F67" s="78">
        <f t="shared" si="16"/>
        <v>2100</v>
      </c>
      <c r="G67" s="262"/>
      <c r="H67" s="266"/>
    </row>
    <row r="68" spans="1:8" x14ac:dyDescent="0.25">
      <c r="A68" s="98"/>
      <c r="B68" s="12">
        <v>3221</v>
      </c>
      <c r="C68" s="13" t="s">
        <v>93</v>
      </c>
      <c r="D68" s="76"/>
      <c r="E68" s="80">
        <v>717.37</v>
      </c>
      <c r="F68" s="72"/>
      <c r="G68" s="235"/>
      <c r="H68" s="237"/>
    </row>
    <row r="69" spans="1:8" x14ac:dyDescent="0.25">
      <c r="A69" s="98"/>
      <c r="B69" s="12">
        <v>3222</v>
      </c>
      <c r="C69" s="13" t="s">
        <v>94</v>
      </c>
      <c r="D69" s="76"/>
      <c r="E69" s="80">
        <v>179.04</v>
      </c>
      <c r="F69" s="80">
        <v>100</v>
      </c>
      <c r="G69" s="235"/>
      <c r="H69" s="237"/>
    </row>
    <row r="70" spans="1:8" ht="25.5" x14ac:dyDescent="0.25">
      <c r="A70" s="98"/>
      <c r="B70" s="12">
        <v>3224</v>
      </c>
      <c r="C70" s="18" t="s">
        <v>95</v>
      </c>
      <c r="D70" s="76"/>
      <c r="E70" s="80">
        <v>816.25</v>
      </c>
      <c r="F70" s="80">
        <v>500</v>
      </c>
      <c r="G70" s="235"/>
      <c r="H70" s="237"/>
    </row>
    <row r="71" spans="1:8" x14ac:dyDescent="0.25">
      <c r="A71" s="98"/>
      <c r="B71" s="12">
        <v>3225</v>
      </c>
      <c r="C71" s="13" t="s">
        <v>96</v>
      </c>
      <c r="D71" s="76"/>
      <c r="E71" s="80">
        <v>410.11</v>
      </c>
      <c r="F71" s="80">
        <v>1500</v>
      </c>
      <c r="G71" s="235"/>
      <c r="H71" s="237"/>
    </row>
    <row r="72" spans="1:8" ht="25.5" x14ac:dyDescent="0.25">
      <c r="A72" s="98"/>
      <c r="B72" s="12">
        <v>3227</v>
      </c>
      <c r="C72" s="18" t="s">
        <v>97</v>
      </c>
      <c r="D72" s="76"/>
      <c r="E72" s="80">
        <v>132.72</v>
      </c>
      <c r="F72" s="72"/>
      <c r="G72" s="235"/>
      <c r="H72" s="237"/>
    </row>
    <row r="73" spans="1:8" x14ac:dyDescent="0.25">
      <c r="A73" s="98"/>
      <c r="B73" s="12">
        <v>323</v>
      </c>
      <c r="C73" s="13" t="s">
        <v>98</v>
      </c>
      <c r="D73" s="76"/>
      <c r="E73" s="78">
        <f t="shared" ref="E73" si="17">SUM(E74:E76)</f>
        <v>2389.0100000000002</v>
      </c>
      <c r="F73" s="78">
        <f>F74+F75</f>
        <v>900</v>
      </c>
      <c r="G73" s="262"/>
      <c r="H73" s="266"/>
    </row>
    <row r="74" spans="1:8" x14ac:dyDescent="0.25">
      <c r="A74" s="98"/>
      <c r="B74" s="12">
        <v>3232</v>
      </c>
      <c r="C74" s="13" t="s">
        <v>99</v>
      </c>
      <c r="D74" s="76"/>
      <c r="E74" s="80">
        <v>1327.23</v>
      </c>
      <c r="F74" s="80">
        <v>400</v>
      </c>
      <c r="G74" s="235"/>
      <c r="H74" s="237"/>
    </row>
    <row r="75" spans="1:8" x14ac:dyDescent="0.25">
      <c r="A75" s="98"/>
      <c r="B75" s="12">
        <v>3234</v>
      </c>
      <c r="C75" s="13" t="s">
        <v>100</v>
      </c>
      <c r="D75" s="76"/>
      <c r="E75" s="80">
        <v>1061.78</v>
      </c>
      <c r="F75" s="80">
        <v>500</v>
      </c>
      <c r="G75" s="235"/>
      <c r="H75" s="237"/>
    </row>
    <row r="76" spans="1:8" x14ac:dyDescent="0.25">
      <c r="A76" s="98"/>
      <c r="B76" s="12">
        <v>3239</v>
      </c>
      <c r="C76" s="13" t="s">
        <v>101</v>
      </c>
      <c r="D76" s="76"/>
      <c r="E76" s="80"/>
      <c r="F76" s="72"/>
      <c r="G76" s="235"/>
      <c r="H76" s="237"/>
    </row>
    <row r="77" spans="1:8" ht="25.5" x14ac:dyDescent="0.25">
      <c r="A77" s="98"/>
      <c r="B77" s="12">
        <v>329</v>
      </c>
      <c r="C77" s="18" t="s">
        <v>89</v>
      </c>
      <c r="D77" s="78">
        <f>SUM(D78)</f>
        <v>30.739929656911542</v>
      </c>
      <c r="E77" s="78">
        <v>0</v>
      </c>
      <c r="F77" s="78">
        <f t="shared" ref="F77" si="18">SUM(F78)</f>
        <v>0</v>
      </c>
      <c r="G77" s="262"/>
      <c r="H77" s="266"/>
    </row>
    <row r="78" spans="1:8" ht="25.5" x14ac:dyDescent="0.25">
      <c r="A78" s="98"/>
      <c r="B78" s="12">
        <v>3299</v>
      </c>
      <c r="C78" s="18" t="s">
        <v>89</v>
      </c>
      <c r="D78" s="78">
        <f>231.61/7.5345</f>
        <v>30.739929656911542</v>
      </c>
      <c r="E78" s="80">
        <v>0</v>
      </c>
      <c r="F78" s="80">
        <v>0</v>
      </c>
      <c r="G78" s="235"/>
      <c r="H78" s="237"/>
    </row>
    <row r="79" spans="1:8" x14ac:dyDescent="0.25">
      <c r="A79" s="110"/>
      <c r="B79" s="73"/>
      <c r="C79" s="74" t="s">
        <v>91</v>
      </c>
      <c r="D79" s="82">
        <f>D66</f>
        <v>30.739929656911542</v>
      </c>
      <c r="E79" s="82">
        <v>4664.5</v>
      </c>
      <c r="F79" s="267">
        <f>F66</f>
        <v>3000</v>
      </c>
      <c r="G79" s="238">
        <f>G66</f>
        <v>3060</v>
      </c>
      <c r="H79" s="239">
        <f>H66</f>
        <v>3120</v>
      </c>
    </row>
    <row r="80" spans="1:8" ht="15.75" thickBot="1" x14ac:dyDescent="0.3">
      <c r="A80" s="93"/>
      <c r="B80" s="94"/>
      <c r="C80" s="95" t="s">
        <v>151</v>
      </c>
      <c r="D80" s="116"/>
      <c r="E80" s="116"/>
      <c r="F80" s="257">
        <v>1500</v>
      </c>
      <c r="G80" s="117"/>
      <c r="H80" s="118"/>
    </row>
    <row r="81" spans="1:8" ht="15.75" thickBot="1" x14ac:dyDescent="0.3">
      <c r="A81" s="100"/>
      <c r="B81" s="100"/>
      <c r="C81" s="101"/>
      <c r="D81" s="268"/>
      <c r="E81" s="268"/>
      <c r="F81" s="269"/>
      <c r="G81" s="269"/>
      <c r="H81" s="269"/>
    </row>
    <row r="82" spans="1:8" x14ac:dyDescent="0.25">
      <c r="A82" s="106">
        <v>3</v>
      </c>
      <c r="B82" s="107"/>
      <c r="C82" s="108" t="s">
        <v>10</v>
      </c>
      <c r="D82" s="250">
        <f>SUM(D83+D96+D110+D114)</f>
        <v>782897.4822483242</v>
      </c>
      <c r="E82" s="250">
        <f>SUM(E83+E96+E110+E114)</f>
        <v>774953.4800000001</v>
      </c>
      <c r="F82" s="251">
        <f>SUM(F83+F96+F110+F114)</f>
        <v>830000</v>
      </c>
      <c r="G82" s="264">
        <f>SUM(G83+G96+G110+G114)</f>
        <v>846600</v>
      </c>
      <c r="H82" s="265">
        <f t="shared" ref="H82" si="19">SUM(H83+H96+H110+H114)</f>
        <v>863200</v>
      </c>
    </row>
    <row r="83" spans="1:8" x14ac:dyDescent="0.25">
      <c r="A83" s="105"/>
      <c r="B83" s="75">
        <v>31</v>
      </c>
      <c r="C83" s="71" t="s">
        <v>11</v>
      </c>
      <c r="D83" s="252">
        <f>SUM(D84+D89+D91)</f>
        <v>732602.93848297803</v>
      </c>
      <c r="E83" s="252">
        <f t="shared" ref="E83:F83" si="20">SUM(E84+E89+E91)</f>
        <v>730130.33000000007</v>
      </c>
      <c r="F83" s="253">
        <f t="shared" si="20"/>
        <v>767000</v>
      </c>
      <c r="G83" s="254">
        <f>F83*1.02</f>
        <v>782340</v>
      </c>
      <c r="H83" s="255">
        <f>F83*1.04</f>
        <v>797680</v>
      </c>
    </row>
    <row r="84" spans="1:8" x14ac:dyDescent="0.25">
      <c r="A84" s="98"/>
      <c r="B84" s="12">
        <v>311</v>
      </c>
      <c r="C84" s="16" t="s">
        <v>79</v>
      </c>
      <c r="D84" s="78">
        <f>SUM(D85:D88)</f>
        <v>605301.01798394031</v>
      </c>
      <c r="E84" s="78">
        <f t="shared" ref="E84:F84" si="21">SUM(E85:E88)</f>
        <v>607723.4</v>
      </c>
      <c r="F84" s="78">
        <f t="shared" si="21"/>
        <v>637000</v>
      </c>
      <c r="G84" s="262"/>
      <c r="H84" s="266"/>
    </row>
    <row r="85" spans="1:8" x14ac:dyDescent="0.25">
      <c r="A85" s="98"/>
      <c r="B85" s="12">
        <v>3111</v>
      </c>
      <c r="C85" s="16" t="s">
        <v>80</v>
      </c>
      <c r="D85" s="78">
        <f>4340623.64/7.5345</f>
        <v>576099.75977171666</v>
      </c>
      <c r="E85" s="80">
        <v>582592.87</v>
      </c>
      <c r="F85" s="80">
        <v>610000</v>
      </c>
      <c r="G85" s="235"/>
      <c r="H85" s="237"/>
    </row>
    <row r="86" spans="1:8" ht="27" customHeight="1" x14ac:dyDescent="0.25">
      <c r="A86" s="98"/>
      <c r="B86" s="12">
        <v>3111</v>
      </c>
      <c r="C86" s="16" t="s">
        <v>102</v>
      </c>
      <c r="D86" s="78">
        <f>52759.12/7.5345</f>
        <v>7002.338575884266</v>
      </c>
      <c r="E86" s="80">
        <v>0</v>
      </c>
      <c r="F86" s="80">
        <v>0</v>
      </c>
      <c r="G86" s="235"/>
      <c r="H86" s="237"/>
    </row>
    <row r="87" spans="1:8" x14ac:dyDescent="0.25">
      <c r="A87" s="98"/>
      <c r="B87" s="12">
        <v>3113</v>
      </c>
      <c r="C87" s="16" t="s">
        <v>81</v>
      </c>
      <c r="D87" s="78">
        <f>57028.69/7.5345</f>
        <v>7569.0078970071008</v>
      </c>
      <c r="E87" s="80">
        <v>9193.18</v>
      </c>
      <c r="F87" s="80">
        <v>10000</v>
      </c>
      <c r="G87" s="235"/>
      <c r="H87" s="237"/>
    </row>
    <row r="88" spans="1:8" x14ac:dyDescent="0.25">
      <c r="A88" s="98"/>
      <c r="B88" s="12">
        <v>3114</v>
      </c>
      <c r="C88" s="13" t="s">
        <v>82</v>
      </c>
      <c r="D88" s="78">
        <f>110229.07/7.5345</f>
        <v>14629.911739332405</v>
      </c>
      <c r="E88" s="80">
        <v>15937.35</v>
      </c>
      <c r="F88" s="80">
        <v>17000</v>
      </c>
      <c r="G88" s="235"/>
      <c r="H88" s="237"/>
    </row>
    <row r="89" spans="1:8" x14ac:dyDescent="0.25">
      <c r="A89" s="98"/>
      <c r="B89" s="12">
        <v>312</v>
      </c>
      <c r="C89" s="16" t="s">
        <v>83</v>
      </c>
      <c r="D89" s="78">
        <f>SUM(D90)</f>
        <v>27915.12243679076</v>
      </c>
      <c r="E89" s="78">
        <f t="shared" ref="E89:F89" si="22">SUM(E90)</f>
        <v>26279.119999999999</v>
      </c>
      <c r="F89" s="78">
        <f t="shared" si="22"/>
        <v>30000</v>
      </c>
      <c r="G89" s="262"/>
      <c r="H89" s="266"/>
    </row>
    <row r="90" spans="1:8" x14ac:dyDescent="0.25">
      <c r="A90" s="98"/>
      <c r="B90" s="12">
        <v>3121</v>
      </c>
      <c r="C90" s="16" t="s">
        <v>83</v>
      </c>
      <c r="D90" s="78">
        <f>210326.49/7.5345</f>
        <v>27915.12243679076</v>
      </c>
      <c r="E90" s="80">
        <v>26279.119999999999</v>
      </c>
      <c r="F90" s="80">
        <v>30000</v>
      </c>
      <c r="G90" s="235"/>
      <c r="H90" s="237"/>
    </row>
    <row r="91" spans="1:8" x14ac:dyDescent="0.25">
      <c r="A91" s="98"/>
      <c r="B91" s="12">
        <v>313</v>
      </c>
      <c r="C91" s="16" t="s">
        <v>84</v>
      </c>
      <c r="D91" s="78">
        <f>SUM(D92:D93)</f>
        <v>99386.798062246977</v>
      </c>
      <c r="E91" s="78">
        <f t="shared" ref="E91:F91" si="23">SUM(E92:E93)</f>
        <v>96127.81</v>
      </c>
      <c r="F91" s="78">
        <f t="shared" si="23"/>
        <v>100000</v>
      </c>
      <c r="G91" s="262"/>
      <c r="H91" s="266"/>
    </row>
    <row r="92" spans="1:8" x14ac:dyDescent="0.25">
      <c r="A92" s="98"/>
      <c r="B92" s="12">
        <v>3132</v>
      </c>
      <c r="C92" s="16" t="s">
        <v>85</v>
      </c>
      <c r="D92" s="78">
        <f>747932.85/7.5345</f>
        <v>99267.748357555232</v>
      </c>
      <c r="E92" s="80">
        <v>96127.81</v>
      </c>
      <c r="F92" s="80">
        <v>100000</v>
      </c>
      <c r="G92" s="235"/>
      <c r="H92" s="237"/>
    </row>
    <row r="93" spans="1:8" ht="25.5" x14ac:dyDescent="0.25">
      <c r="A93" s="98"/>
      <c r="B93" s="12">
        <v>3133</v>
      </c>
      <c r="C93" s="16" t="s">
        <v>103</v>
      </c>
      <c r="D93" s="78">
        <f>896.98/7.5345</f>
        <v>119.04970469175127</v>
      </c>
      <c r="E93" s="72"/>
      <c r="F93" s="72"/>
      <c r="G93" s="235"/>
      <c r="H93" s="237"/>
    </row>
    <row r="94" spans="1:8" ht="15.75" thickBot="1" x14ac:dyDescent="0.3">
      <c r="A94" s="93"/>
      <c r="B94" s="94"/>
      <c r="C94" s="94" t="s">
        <v>104</v>
      </c>
      <c r="D94" s="256">
        <f>D83</f>
        <v>732602.93848297803</v>
      </c>
      <c r="E94" s="116">
        <v>730130.33</v>
      </c>
      <c r="F94" s="257">
        <f>F83</f>
        <v>767000</v>
      </c>
      <c r="G94" s="240">
        <f>G83</f>
        <v>782340</v>
      </c>
      <c r="H94" s="241">
        <f>H83</f>
        <v>797680</v>
      </c>
    </row>
    <row r="95" spans="1:8" ht="6" customHeight="1" thickBot="1" x14ac:dyDescent="0.3">
      <c r="A95" s="84"/>
      <c r="B95" s="84"/>
      <c r="C95" s="85"/>
      <c r="D95" s="113"/>
      <c r="E95" s="113"/>
      <c r="F95" s="114"/>
      <c r="G95" s="242"/>
      <c r="H95" s="242"/>
    </row>
    <row r="96" spans="1:8" x14ac:dyDescent="0.25">
      <c r="A96" s="96"/>
      <c r="B96" s="97">
        <v>32</v>
      </c>
      <c r="C96" s="97" t="s">
        <v>22</v>
      </c>
      <c r="D96" s="259">
        <f>SUM(D97+D99+D102+D105)</f>
        <v>36986.068086800711</v>
      </c>
      <c r="E96" s="259">
        <f t="shared" ref="E96" si="24">SUM(E97+E99+E102+E105)</f>
        <v>44823.15</v>
      </c>
      <c r="F96" s="260">
        <f>SUM(F97+F99+F102+F105)</f>
        <v>63000</v>
      </c>
      <c r="G96" s="258">
        <f>F96*1.02</f>
        <v>64260</v>
      </c>
      <c r="H96" s="261">
        <f>F96*1.04</f>
        <v>65520</v>
      </c>
    </row>
    <row r="97" spans="1:8" x14ac:dyDescent="0.25">
      <c r="A97" s="98"/>
      <c r="B97" s="12">
        <v>321</v>
      </c>
      <c r="C97" s="12" t="s">
        <v>87</v>
      </c>
      <c r="D97" s="78">
        <f>SUM(D98)</f>
        <v>30846.744973123627</v>
      </c>
      <c r="E97" s="78">
        <f t="shared" ref="E97:F97" si="25">SUM(E98)</f>
        <v>35038.82</v>
      </c>
      <c r="F97" s="78">
        <f t="shared" si="25"/>
        <v>23000</v>
      </c>
      <c r="G97" s="262"/>
      <c r="H97" s="266"/>
    </row>
    <row r="98" spans="1:8" ht="25.5" x14ac:dyDescent="0.25">
      <c r="A98" s="98"/>
      <c r="B98" s="12">
        <v>3212</v>
      </c>
      <c r="C98" s="77" t="s">
        <v>105</v>
      </c>
      <c r="D98" s="78">
        <f>232414.8/7.5345</f>
        <v>30846.744973123627</v>
      </c>
      <c r="E98" s="80">
        <v>35038.82</v>
      </c>
      <c r="F98" s="80">
        <v>23000</v>
      </c>
      <c r="G98" s="235"/>
      <c r="H98" s="237"/>
    </row>
    <row r="99" spans="1:8" x14ac:dyDescent="0.25">
      <c r="A99" s="98"/>
      <c r="B99" s="12">
        <v>322</v>
      </c>
      <c r="C99" s="12" t="s">
        <v>92</v>
      </c>
      <c r="D99" s="76"/>
      <c r="E99" s="78">
        <f t="shared" ref="E99" si="26">SUM(E100:E101)</f>
        <v>3902.05</v>
      </c>
      <c r="F99" s="78">
        <v>39000</v>
      </c>
      <c r="G99" s="262"/>
      <c r="H99" s="266"/>
    </row>
    <row r="100" spans="1:8" x14ac:dyDescent="0.25">
      <c r="A100" s="98"/>
      <c r="B100" s="12">
        <v>3221</v>
      </c>
      <c r="C100" s="12" t="s">
        <v>93</v>
      </c>
      <c r="D100" s="76"/>
      <c r="E100" s="80"/>
      <c r="F100" s="80"/>
      <c r="G100" s="235"/>
      <c r="H100" s="237"/>
    </row>
    <row r="101" spans="1:8" x14ac:dyDescent="0.25">
      <c r="A101" s="98"/>
      <c r="B101" s="12">
        <v>3222</v>
      </c>
      <c r="C101" s="12" t="s">
        <v>94</v>
      </c>
      <c r="D101" s="76"/>
      <c r="E101" s="80">
        <v>3902.05</v>
      </c>
      <c r="F101" s="80">
        <v>2000</v>
      </c>
      <c r="G101" s="235"/>
      <c r="H101" s="237"/>
    </row>
    <row r="102" spans="1:8" x14ac:dyDescent="0.25">
      <c r="A102" s="98"/>
      <c r="B102" s="12">
        <v>323</v>
      </c>
      <c r="C102" s="12" t="s">
        <v>98</v>
      </c>
      <c r="D102" s="78">
        <f>D103+D104</f>
        <v>230.90450593934565</v>
      </c>
      <c r="E102" s="78">
        <f t="shared" ref="E102:F102" si="27">SUM(E103:E104)</f>
        <v>4156.88</v>
      </c>
      <c r="F102" s="78">
        <f t="shared" si="27"/>
        <v>1000</v>
      </c>
      <c r="G102" s="262"/>
      <c r="H102" s="266"/>
    </row>
    <row r="103" spans="1:8" x14ac:dyDescent="0.25">
      <c r="A103" s="98"/>
      <c r="B103" s="12">
        <v>3236</v>
      </c>
      <c r="C103" s="12" t="s">
        <v>106</v>
      </c>
      <c r="D103" s="78">
        <f>1739.75/7.5345</f>
        <v>230.90450593934565</v>
      </c>
      <c r="E103" s="80"/>
      <c r="F103" s="80"/>
      <c r="G103" s="235"/>
      <c r="H103" s="237"/>
    </row>
    <row r="104" spans="1:8" x14ac:dyDescent="0.25">
      <c r="A104" s="98"/>
      <c r="B104" s="12">
        <v>3239</v>
      </c>
      <c r="C104" s="12" t="s">
        <v>101</v>
      </c>
      <c r="D104" s="76"/>
      <c r="E104" s="80">
        <v>4156.88</v>
      </c>
      <c r="F104" s="80">
        <v>1000</v>
      </c>
      <c r="G104" s="235"/>
      <c r="H104" s="237"/>
    </row>
    <row r="105" spans="1:8" ht="25.5" x14ac:dyDescent="0.25">
      <c r="A105" s="98"/>
      <c r="B105" s="12">
        <v>329</v>
      </c>
      <c r="C105" s="77" t="s">
        <v>89</v>
      </c>
      <c r="D105" s="78">
        <f>SUM(D106:D107)</f>
        <v>5908.4186077377399</v>
      </c>
      <c r="E105" s="78">
        <f t="shared" ref="E105" si="28">SUM(E106:E107)</f>
        <v>1725.4</v>
      </c>
      <c r="F105" s="76"/>
      <c r="G105" s="262"/>
      <c r="H105" s="266"/>
    </row>
    <row r="106" spans="1:8" x14ac:dyDescent="0.25">
      <c r="A106" s="98"/>
      <c r="B106" s="12">
        <v>3295</v>
      </c>
      <c r="C106" s="12" t="s">
        <v>107</v>
      </c>
      <c r="D106" s="78">
        <f>17784/7.5345</f>
        <v>2360.3424248457095</v>
      </c>
      <c r="E106" s="80">
        <v>1725.4</v>
      </c>
      <c r="F106" s="72"/>
      <c r="G106" s="235"/>
      <c r="H106" s="237"/>
    </row>
    <row r="107" spans="1:8" x14ac:dyDescent="0.25">
      <c r="A107" s="98"/>
      <c r="B107" s="12">
        <v>3296</v>
      </c>
      <c r="C107" s="12" t="s">
        <v>108</v>
      </c>
      <c r="D107" s="78">
        <f>26732.98/7.5345</f>
        <v>3548.0761828920299</v>
      </c>
      <c r="E107" s="72"/>
      <c r="F107" s="72"/>
      <c r="G107" s="235"/>
      <c r="H107" s="237"/>
    </row>
    <row r="108" spans="1:8" ht="15.75" thickBot="1" x14ac:dyDescent="0.3">
      <c r="A108" s="93"/>
      <c r="B108" s="94"/>
      <c r="C108" s="94" t="s">
        <v>104</v>
      </c>
      <c r="D108" s="256">
        <f>D96</f>
        <v>36986.068086800711</v>
      </c>
      <c r="E108" s="116">
        <v>44823.15</v>
      </c>
      <c r="F108" s="257">
        <f>F96</f>
        <v>63000</v>
      </c>
      <c r="G108" s="240">
        <f>G96</f>
        <v>64260</v>
      </c>
      <c r="H108" s="241">
        <f>H96</f>
        <v>65520</v>
      </c>
    </row>
    <row r="109" spans="1:8" ht="15.75" thickBot="1" x14ac:dyDescent="0.3">
      <c r="A109" s="84"/>
      <c r="B109" s="84"/>
      <c r="C109" s="85"/>
      <c r="D109" s="113"/>
      <c r="E109" s="113"/>
      <c r="F109" s="114"/>
      <c r="G109" s="114"/>
      <c r="H109" s="114"/>
    </row>
    <row r="110" spans="1:8" x14ac:dyDescent="0.25">
      <c r="A110" s="96"/>
      <c r="B110" s="109">
        <v>34</v>
      </c>
      <c r="C110" s="109" t="s">
        <v>78</v>
      </c>
      <c r="D110" s="259">
        <f>SUM(D111)</f>
        <v>2754.3393722211158</v>
      </c>
      <c r="E110" s="259">
        <f t="shared" ref="E110:H111" si="29">SUM(E111)</f>
        <v>0</v>
      </c>
      <c r="F110" s="259">
        <f t="shared" si="29"/>
        <v>0</v>
      </c>
      <c r="G110" s="258">
        <f t="shared" si="29"/>
        <v>0</v>
      </c>
      <c r="H110" s="261">
        <f t="shared" si="29"/>
        <v>0</v>
      </c>
    </row>
    <row r="111" spans="1:8" x14ac:dyDescent="0.25">
      <c r="A111" s="98"/>
      <c r="B111" s="12">
        <v>343</v>
      </c>
      <c r="C111" s="12" t="s">
        <v>147</v>
      </c>
      <c r="D111" s="78">
        <f>SUM(D112)</f>
        <v>2754.3393722211158</v>
      </c>
      <c r="E111" s="78">
        <f t="shared" si="29"/>
        <v>0</v>
      </c>
      <c r="F111" s="78">
        <f t="shared" si="29"/>
        <v>0</v>
      </c>
      <c r="G111" s="262">
        <f t="shared" si="29"/>
        <v>0</v>
      </c>
      <c r="H111" s="266">
        <f t="shared" si="29"/>
        <v>0</v>
      </c>
    </row>
    <row r="112" spans="1:8" x14ac:dyDescent="0.25">
      <c r="A112" s="98"/>
      <c r="B112" s="12">
        <v>3433</v>
      </c>
      <c r="C112" s="12" t="s">
        <v>110</v>
      </c>
      <c r="D112" s="78">
        <f>20752.57/7.5345</f>
        <v>2754.3393722211158</v>
      </c>
      <c r="E112" s="80"/>
      <c r="F112" s="80"/>
      <c r="G112" s="235"/>
      <c r="H112" s="237"/>
    </row>
    <row r="113" spans="1:8" x14ac:dyDescent="0.25">
      <c r="A113" s="110"/>
      <c r="B113" s="79"/>
      <c r="C113" s="73" t="s">
        <v>104</v>
      </c>
      <c r="D113" s="270">
        <f>D110</f>
        <v>2754.3393722211158</v>
      </c>
      <c r="E113" s="82">
        <v>0</v>
      </c>
      <c r="F113" s="82"/>
      <c r="G113" s="238"/>
      <c r="H113" s="239"/>
    </row>
    <row r="114" spans="1:8" ht="51" x14ac:dyDescent="0.25">
      <c r="A114" s="105"/>
      <c r="B114" s="81">
        <v>37</v>
      </c>
      <c r="C114" s="129" t="s">
        <v>148</v>
      </c>
      <c r="D114" s="252">
        <f>SUM(D115)</f>
        <v>10554.136306324241</v>
      </c>
      <c r="E114" s="252">
        <f t="shared" ref="E114:H115" si="30">SUM(E115)</f>
        <v>0</v>
      </c>
      <c r="F114" s="252">
        <f t="shared" si="30"/>
        <v>0</v>
      </c>
      <c r="G114" s="254">
        <f t="shared" si="30"/>
        <v>0</v>
      </c>
      <c r="H114" s="255">
        <f t="shared" si="30"/>
        <v>0</v>
      </c>
    </row>
    <row r="115" spans="1:8" ht="27.75" customHeight="1" x14ac:dyDescent="0.25">
      <c r="A115" s="98"/>
      <c r="B115" s="12">
        <v>372</v>
      </c>
      <c r="C115" s="140" t="s">
        <v>149</v>
      </c>
      <c r="D115" s="78">
        <f>SUM(D116)</f>
        <v>10554.136306324241</v>
      </c>
      <c r="E115" s="78">
        <f t="shared" si="30"/>
        <v>0</v>
      </c>
      <c r="F115" s="78">
        <f t="shared" si="30"/>
        <v>0</v>
      </c>
      <c r="G115" s="262">
        <f t="shared" si="30"/>
        <v>0</v>
      </c>
      <c r="H115" s="266">
        <f t="shared" si="30"/>
        <v>0</v>
      </c>
    </row>
    <row r="116" spans="1:8" ht="25.5" x14ac:dyDescent="0.25">
      <c r="A116" s="98"/>
      <c r="B116" s="12">
        <v>3722</v>
      </c>
      <c r="C116" s="77" t="s">
        <v>111</v>
      </c>
      <c r="D116" s="78">
        <f>79520.14/7.5345</f>
        <v>10554.136306324241</v>
      </c>
      <c r="E116" s="78"/>
      <c r="F116" s="80"/>
      <c r="G116" s="72"/>
      <c r="H116" s="92"/>
    </row>
    <row r="117" spans="1:8" ht="15.75" thickBot="1" x14ac:dyDescent="0.3">
      <c r="A117" s="93"/>
      <c r="B117" s="115"/>
      <c r="C117" s="130" t="s">
        <v>104</v>
      </c>
      <c r="D117" s="256">
        <f>D114</f>
        <v>10554.136306324241</v>
      </c>
      <c r="E117" s="116">
        <v>0</v>
      </c>
      <c r="F117" s="117"/>
      <c r="G117" s="117"/>
      <c r="H117" s="118"/>
    </row>
    <row r="118" spans="1:8" ht="15.75" thickBot="1" x14ac:dyDescent="0.3">
      <c r="A118" s="84"/>
      <c r="B118" s="112"/>
      <c r="C118" s="131"/>
      <c r="D118" s="113"/>
      <c r="E118" s="113"/>
      <c r="F118" s="114"/>
      <c r="G118" s="114"/>
      <c r="H118" s="114"/>
    </row>
    <row r="119" spans="1:8" ht="33.75" customHeight="1" x14ac:dyDescent="0.25">
      <c r="A119" s="106">
        <v>4</v>
      </c>
      <c r="B119" s="103"/>
      <c r="C119" s="132" t="s">
        <v>142</v>
      </c>
      <c r="D119" s="250">
        <f>SUM(D120)</f>
        <v>1457.9069613113013</v>
      </c>
      <c r="E119" s="250">
        <f t="shared" ref="E119:H121" si="31">SUM(E120)</f>
        <v>11281.44</v>
      </c>
      <c r="F119" s="251">
        <f t="shared" si="31"/>
        <v>12000</v>
      </c>
      <c r="G119" s="264">
        <f t="shared" si="31"/>
        <v>12240</v>
      </c>
      <c r="H119" s="265">
        <f t="shared" si="31"/>
        <v>12480</v>
      </c>
    </row>
    <row r="120" spans="1:8" ht="26.25" x14ac:dyDescent="0.25">
      <c r="A120" s="119"/>
      <c r="B120" s="120">
        <v>42</v>
      </c>
      <c r="C120" s="121" t="s">
        <v>112</v>
      </c>
      <c r="D120" s="271">
        <f>SUM(D121)</f>
        <v>1457.9069613113013</v>
      </c>
      <c r="E120" s="271">
        <f t="shared" si="31"/>
        <v>11281.44</v>
      </c>
      <c r="F120" s="272">
        <f t="shared" si="31"/>
        <v>12000</v>
      </c>
      <c r="G120" s="273">
        <f>F120*1.02</f>
        <v>12240</v>
      </c>
      <c r="H120" s="274">
        <f>F120*1.04</f>
        <v>12480</v>
      </c>
    </row>
    <row r="121" spans="1:8" ht="26.25" x14ac:dyDescent="0.25">
      <c r="A121" s="122"/>
      <c r="B121" s="123">
        <v>424</v>
      </c>
      <c r="C121" s="124" t="s">
        <v>143</v>
      </c>
      <c r="D121" s="275">
        <f>SUM(D122)</f>
        <v>1457.9069613113013</v>
      </c>
      <c r="E121" s="275">
        <f t="shared" si="31"/>
        <v>11281.44</v>
      </c>
      <c r="F121" s="275">
        <f t="shared" si="31"/>
        <v>12000</v>
      </c>
      <c r="G121" s="276"/>
      <c r="H121" s="277"/>
    </row>
    <row r="122" spans="1:8" x14ac:dyDescent="0.25">
      <c r="A122" s="122"/>
      <c r="B122" s="123">
        <v>4241</v>
      </c>
      <c r="C122" s="123" t="s">
        <v>114</v>
      </c>
      <c r="D122" s="275">
        <f>10984.6/7.5345</f>
        <v>1457.9069613113013</v>
      </c>
      <c r="E122" s="275">
        <v>11281.44</v>
      </c>
      <c r="F122" s="275">
        <v>12000</v>
      </c>
      <c r="G122" s="278"/>
      <c r="H122" s="279"/>
    </row>
    <row r="123" spans="1:8" ht="15.75" thickBot="1" x14ac:dyDescent="0.3">
      <c r="A123" s="125"/>
      <c r="B123" s="126"/>
      <c r="C123" s="126" t="s">
        <v>104</v>
      </c>
      <c r="D123" s="280">
        <f>D120</f>
        <v>1457.9069613113013</v>
      </c>
      <c r="E123" s="280">
        <v>11281.44</v>
      </c>
      <c r="F123" s="281">
        <f>F119</f>
        <v>12000</v>
      </c>
      <c r="G123" s="282">
        <f>G120</f>
        <v>12240</v>
      </c>
      <c r="H123" s="283">
        <f>H120</f>
        <v>12480</v>
      </c>
    </row>
    <row r="124" spans="1:8" ht="15.75" thickBot="1" x14ac:dyDescent="0.3">
      <c r="A124" s="143"/>
      <c r="B124" s="143"/>
      <c r="C124" s="143"/>
      <c r="D124" s="284"/>
      <c r="E124" s="284"/>
      <c r="F124" s="285"/>
      <c r="G124" s="285"/>
      <c r="H124" s="285"/>
    </row>
    <row r="125" spans="1:8" x14ac:dyDescent="0.25">
      <c r="A125" s="144">
        <v>3</v>
      </c>
      <c r="B125" s="145"/>
      <c r="C125" s="145" t="s">
        <v>10</v>
      </c>
      <c r="D125" s="286">
        <f>SUM(D126+D136)</f>
        <v>60667.140558099411</v>
      </c>
      <c r="E125" s="286">
        <v>44215.27</v>
      </c>
      <c r="F125" s="287">
        <f>SUM(F126+F136)</f>
        <v>25000</v>
      </c>
      <c r="G125" s="288">
        <f>SUM(G126+G136)</f>
        <v>25500</v>
      </c>
      <c r="H125" s="289">
        <f>SUM(H126+H136)</f>
        <v>26000</v>
      </c>
    </row>
    <row r="126" spans="1:8" x14ac:dyDescent="0.25">
      <c r="A126" s="105"/>
      <c r="B126" s="75">
        <v>31</v>
      </c>
      <c r="C126" s="71" t="s">
        <v>11</v>
      </c>
      <c r="D126" s="252">
        <f>D127+D130+D132</f>
        <v>3769.9855975844448</v>
      </c>
      <c r="E126" s="290">
        <f>E127+E130+E132</f>
        <v>9096.81</v>
      </c>
      <c r="F126" s="291">
        <f>SUM(F127+F130+F132)</f>
        <v>10000</v>
      </c>
      <c r="G126" s="292">
        <f>F126*1.02</f>
        <v>10200</v>
      </c>
      <c r="H126" s="293">
        <f>F126*1.04</f>
        <v>10400</v>
      </c>
    </row>
    <row r="127" spans="1:8" x14ac:dyDescent="0.25">
      <c r="A127" s="98"/>
      <c r="B127" s="12">
        <v>311</v>
      </c>
      <c r="C127" s="16" t="s">
        <v>80</v>
      </c>
      <c r="D127" s="78">
        <f>D128+D129</f>
        <v>3104.3639259406727</v>
      </c>
      <c r="E127" s="80">
        <f>E128+E129</f>
        <v>7466.71</v>
      </c>
      <c r="F127" s="80">
        <f>SUM(F128:F129)</f>
        <v>7800</v>
      </c>
      <c r="G127" s="235"/>
      <c r="H127" s="237"/>
    </row>
    <row r="128" spans="1:8" x14ac:dyDescent="0.25">
      <c r="A128" s="98"/>
      <c r="B128" s="12">
        <v>3111</v>
      </c>
      <c r="C128" s="16" t="s">
        <v>80</v>
      </c>
      <c r="D128" s="78">
        <f>23389.83/7.5345</f>
        <v>3104.3639259406727</v>
      </c>
      <c r="E128" s="80">
        <v>6935.82</v>
      </c>
      <c r="F128" s="80">
        <v>7200</v>
      </c>
      <c r="G128" s="235"/>
      <c r="H128" s="237"/>
    </row>
    <row r="129" spans="1:8" x14ac:dyDescent="0.25">
      <c r="A129" s="98"/>
      <c r="B129" s="12">
        <v>3114</v>
      </c>
      <c r="C129" s="12" t="s">
        <v>82</v>
      </c>
      <c r="D129" s="78"/>
      <c r="E129" s="80">
        <v>530.89</v>
      </c>
      <c r="F129" s="80">
        <v>600</v>
      </c>
      <c r="G129" s="235"/>
      <c r="H129" s="237"/>
    </row>
    <row r="130" spans="1:8" x14ac:dyDescent="0.25">
      <c r="A130" s="98"/>
      <c r="B130" s="12">
        <v>312</v>
      </c>
      <c r="C130" s="16" t="s">
        <v>83</v>
      </c>
      <c r="D130" s="78">
        <f>D131</f>
        <v>166.13</v>
      </c>
      <c r="E130" s="80">
        <f>E131</f>
        <v>398.17</v>
      </c>
      <c r="F130" s="80">
        <f>SUM(F131)</f>
        <v>700</v>
      </c>
      <c r="G130" s="235"/>
      <c r="H130" s="237"/>
    </row>
    <row r="131" spans="1:8" x14ac:dyDescent="0.25">
      <c r="A131" s="98"/>
      <c r="B131" s="12">
        <v>3121</v>
      </c>
      <c r="C131" s="16" t="s">
        <v>83</v>
      </c>
      <c r="D131" s="78">
        <f>166.13</f>
        <v>166.13</v>
      </c>
      <c r="E131" s="80">
        <v>398.17</v>
      </c>
      <c r="F131" s="80">
        <v>700</v>
      </c>
      <c r="G131" s="235"/>
      <c r="H131" s="237"/>
    </row>
    <row r="132" spans="1:8" x14ac:dyDescent="0.25">
      <c r="A132" s="98"/>
      <c r="B132" s="12">
        <v>313</v>
      </c>
      <c r="C132" s="16" t="s">
        <v>84</v>
      </c>
      <c r="D132" s="78">
        <f>D133</f>
        <v>499.49167164377195</v>
      </c>
      <c r="E132" s="80">
        <f>E133</f>
        <v>1231.93</v>
      </c>
      <c r="F132" s="80">
        <f>SUM(F133)</f>
        <v>1500</v>
      </c>
      <c r="G132" s="235"/>
      <c r="H132" s="237"/>
    </row>
    <row r="133" spans="1:8" x14ac:dyDescent="0.25">
      <c r="A133" s="98"/>
      <c r="B133" s="12">
        <v>3132</v>
      </c>
      <c r="C133" s="16" t="s">
        <v>85</v>
      </c>
      <c r="D133" s="78">
        <f>3763.42/7.5345</f>
        <v>499.49167164377195</v>
      </c>
      <c r="E133" s="80">
        <v>1231.93</v>
      </c>
      <c r="F133" s="80">
        <v>1500</v>
      </c>
      <c r="G133" s="235"/>
      <c r="H133" s="237"/>
    </row>
    <row r="134" spans="1:8" ht="26.25" thickBot="1" x14ac:dyDescent="0.3">
      <c r="A134" s="93"/>
      <c r="B134" s="94"/>
      <c r="C134" s="128" t="s">
        <v>144</v>
      </c>
      <c r="D134" s="263">
        <f>D126</f>
        <v>3769.9855975844448</v>
      </c>
      <c r="E134" s="116">
        <v>9096.81</v>
      </c>
      <c r="F134" s="257">
        <f>F126</f>
        <v>10000</v>
      </c>
      <c r="G134" s="240">
        <f>G126</f>
        <v>10200</v>
      </c>
      <c r="H134" s="241">
        <f>H126</f>
        <v>10400</v>
      </c>
    </row>
    <row r="135" spans="1:8" ht="6.75" customHeight="1" thickBot="1" x14ac:dyDescent="0.3">
      <c r="A135" s="84"/>
      <c r="B135" s="84"/>
      <c r="C135" s="127"/>
      <c r="D135" s="114"/>
      <c r="E135" s="113"/>
      <c r="F135" s="114"/>
      <c r="G135" s="242"/>
      <c r="H135" s="242"/>
    </row>
    <row r="136" spans="1:8" x14ac:dyDescent="0.25">
      <c r="A136" s="96"/>
      <c r="B136" s="97">
        <v>32</v>
      </c>
      <c r="C136" s="97" t="s">
        <v>22</v>
      </c>
      <c r="D136" s="259">
        <f>SUM(D137+D139+D145+D149)</f>
        <v>56897.154960514963</v>
      </c>
      <c r="E136" s="259">
        <f>SUM(E137+E139+E145+E149+E152)</f>
        <v>35118.459999999992</v>
      </c>
      <c r="F136" s="260">
        <f>SUM(F137+F139+F145+F149+F152)</f>
        <v>15000</v>
      </c>
      <c r="G136" s="258">
        <f>F136*1.02</f>
        <v>15300</v>
      </c>
      <c r="H136" s="261">
        <f>F136*1.04</f>
        <v>15600</v>
      </c>
    </row>
    <row r="137" spans="1:8" x14ac:dyDescent="0.25">
      <c r="A137" s="98"/>
      <c r="B137" s="12">
        <v>321</v>
      </c>
      <c r="C137" s="12" t="s">
        <v>87</v>
      </c>
      <c r="D137" s="78">
        <f>SUM(D138)</f>
        <v>132.67237374742848</v>
      </c>
      <c r="E137" s="78">
        <f t="shared" ref="E137:F137" si="32">SUM(E138)</f>
        <v>477.8</v>
      </c>
      <c r="F137" s="78">
        <f t="shared" si="32"/>
        <v>1000</v>
      </c>
      <c r="G137" s="76"/>
      <c r="H137" s="99"/>
    </row>
    <row r="138" spans="1:8" x14ac:dyDescent="0.25">
      <c r="A138" s="98"/>
      <c r="B138" s="12">
        <v>3211</v>
      </c>
      <c r="C138" s="12" t="s">
        <v>116</v>
      </c>
      <c r="D138" s="78">
        <f>999.62/7.5345</f>
        <v>132.67237374742848</v>
      </c>
      <c r="E138" s="80">
        <v>477.8</v>
      </c>
      <c r="F138" s="80">
        <v>1000</v>
      </c>
      <c r="G138" s="72"/>
      <c r="H138" s="92"/>
    </row>
    <row r="139" spans="1:8" x14ac:dyDescent="0.25">
      <c r="A139" s="98"/>
      <c r="B139" s="12">
        <v>322</v>
      </c>
      <c r="C139" s="12" t="s">
        <v>92</v>
      </c>
      <c r="D139" s="78">
        <f>SUM(D140:D144)</f>
        <v>32010.973189992699</v>
      </c>
      <c r="E139" s="78">
        <f t="shared" ref="E139:F139" si="33">SUM(E140:E144)</f>
        <v>28880.489999999998</v>
      </c>
      <c r="F139" s="78">
        <f t="shared" si="33"/>
        <v>5000</v>
      </c>
      <c r="G139" s="76"/>
      <c r="H139" s="99"/>
    </row>
    <row r="140" spans="1:8" x14ac:dyDescent="0.25">
      <c r="A140" s="98"/>
      <c r="B140" s="12">
        <v>3221</v>
      </c>
      <c r="C140" s="12" t="s">
        <v>93</v>
      </c>
      <c r="D140" s="78">
        <f>34536.88/7.5345</f>
        <v>4583.8317074789293</v>
      </c>
      <c r="E140" s="80">
        <v>5388.55</v>
      </c>
      <c r="F140" s="80"/>
      <c r="G140" s="72"/>
      <c r="H140" s="92"/>
    </row>
    <row r="141" spans="1:8" x14ac:dyDescent="0.25">
      <c r="A141" s="98"/>
      <c r="B141" s="12">
        <v>3222</v>
      </c>
      <c r="C141" s="12" t="s">
        <v>94</v>
      </c>
      <c r="D141" s="78">
        <f>(188152.6/7.5345)+2455</f>
        <v>27427.141482513769</v>
      </c>
      <c r="E141" s="80">
        <v>23491.94</v>
      </c>
      <c r="F141" s="80">
        <v>5000</v>
      </c>
      <c r="G141" s="72"/>
      <c r="H141" s="92"/>
    </row>
    <row r="142" spans="1:8" ht="25.5" x14ac:dyDescent="0.25">
      <c r="A142" s="98"/>
      <c r="B142" s="12">
        <v>3224</v>
      </c>
      <c r="C142" s="77" t="s">
        <v>95</v>
      </c>
      <c r="D142" s="76"/>
      <c r="E142" s="80"/>
      <c r="F142" s="80"/>
      <c r="G142" s="72"/>
      <c r="H142" s="92"/>
    </row>
    <row r="143" spans="1:8" x14ac:dyDescent="0.25">
      <c r="A143" s="98"/>
      <c r="B143" s="12">
        <v>3225</v>
      </c>
      <c r="C143" s="12" t="s">
        <v>96</v>
      </c>
      <c r="D143" s="78">
        <v>0</v>
      </c>
      <c r="E143" s="80">
        <v>0</v>
      </c>
      <c r="F143" s="80">
        <v>0</v>
      </c>
      <c r="G143" s="72"/>
      <c r="H143" s="92"/>
    </row>
    <row r="144" spans="1:8" ht="25.5" x14ac:dyDescent="0.25">
      <c r="A144" s="98"/>
      <c r="B144" s="12">
        <v>3227</v>
      </c>
      <c r="C144" s="77" t="s">
        <v>97</v>
      </c>
      <c r="D144" s="78">
        <v>0</v>
      </c>
      <c r="E144" s="80"/>
      <c r="F144" s="80"/>
      <c r="G144" s="72"/>
      <c r="H144" s="92"/>
    </row>
    <row r="145" spans="1:8" x14ac:dyDescent="0.25">
      <c r="A145" s="98"/>
      <c r="B145" s="12">
        <v>323</v>
      </c>
      <c r="C145" s="12" t="s">
        <v>98</v>
      </c>
      <c r="D145" s="78">
        <f>SUM(D146:D148)</f>
        <v>13910.454117725132</v>
      </c>
      <c r="E145" s="78">
        <f t="shared" ref="E145:F145" si="34">SUM(E146:E148)</f>
        <v>3105.72</v>
      </c>
      <c r="F145" s="78">
        <f t="shared" si="34"/>
        <v>2000</v>
      </c>
      <c r="G145" s="76"/>
      <c r="H145" s="99"/>
    </row>
    <row r="146" spans="1:8" x14ac:dyDescent="0.25">
      <c r="A146" s="98"/>
      <c r="B146" s="12">
        <v>3232</v>
      </c>
      <c r="C146" s="12" t="s">
        <v>99</v>
      </c>
      <c r="D146" s="78">
        <f>((600+4775)/7.5345)+9290.59</f>
        <v>10003.975095228616</v>
      </c>
      <c r="E146" s="80"/>
      <c r="F146" s="80"/>
      <c r="G146" s="72"/>
      <c r="H146" s="92"/>
    </row>
    <row r="147" spans="1:8" x14ac:dyDescent="0.25">
      <c r="A147" s="98"/>
      <c r="B147" s="12">
        <v>3236</v>
      </c>
      <c r="C147" s="12" t="s">
        <v>106</v>
      </c>
      <c r="D147" s="78">
        <f>5785.4/7.5345</f>
        <v>767.85453580197748</v>
      </c>
      <c r="E147" s="80">
        <v>0</v>
      </c>
      <c r="F147" s="80"/>
      <c r="G147" s="72"/>
      <c r="H147" s="92"/>
    </row>
    <row r="148" spans="1:8" x14ac:dyDescent="0.25">
      <c r="A148" s="98"/>
      <c r="B148" s="12">
        <v>3239</v>
      </c>
      <c r="C148" s="12" t="s">
        <v>101</v>
      </c>
      <c r="D148" s="78">
        <f>(11824/7.5345)+1569.31</f>
        <v>3138.6244866945381</v>
      </c>
      <c r="E148" s="80">
        <v>3105.72</v>
      </c>
      <c r="F148" s="80">
        <v>2000</v>
      </c>
      <c r="G148" s="72"/>
      <c r="H148" s="92"/>
    </row>
    <row r="149" spans="1:8" ht="25.5" x14ac:dyDescent="0.25">
      <c r="A149" s="98"/>
      <c r="B149" s="12">
        <v>329</v>
      </c>
      <c r="C149" s="77" t="s">
        <v>89</v>
      </c>
      <c r="D149" s="78">
        <f>SUM(D150:D151)</f>
        <v>10843.055279049704</v>
      </c>
      <c r="E149" s="78">
        <f t="shared" ref="E149:F149" si="35">SUM(E150:E151)</f>
        <v>663.61</v>
      </c>
      <c r="F149" s="78">
        <f t="shared" si="35"/>
        <v>7000</v>
      </c>
      <c r="G149" s="76"/>
      <c r="H149" s="99"/>
    </row>
    <row r="150" spans="1:8" ht="39" customHeight="1" x14ac:dyDescent="0.25">
      <c r="A150" s="98"/>
      <c r="B150" s="12">
        <v>3291</v>
      </c>
      <c r="C150" s="77" t="s">
        <v>90</v>
      </c>
      <c r="D150" s="78">
        <f>(1500+6630)/7.5345</f>
        <v>1079.0364324109098</v>
      </c>
      <c r="E150" s="80"/>
      <c r="F150" s="80"/>
      <c r="G150" s="72"/>
      <c r="H150" s="92"/>
    </row>
    <row r="151" spans="1:8" ht="25.5" x14ac:dyDescent="0.25">
      <c r="A151" s="98"/>
      <c r="B151" s="12">
        <v>3299</v>
      </c>
      <c r="C151" s="77" t="s">
        <v>89</v>
      </c>
      <c r="D151" s="78">
        <f>73567/7.5345</f>
        <v>9764.0188466387935</v>
      </c>
      <c r="E151" s="80">
        <v>663.61</v>
      </c>
      <c r="F151" s="80">
        <v>7000</v>
      </c>
      <c r="G151" s="72"/>
      <c r="H151" s="92"/>
    </row>
    <row r="152" spans="1:8" ht="37.5" customHeight="1" x14ac:dyDescent="0.25">
      <c r="A152" s="110"/>
      <c r="B152" s="73"/>
      <c r="C152" s="133" t="s">
        <v>117</v>
      </c>
      <c r="D152" s="294"/>
      <c r="E152" s="82">
        <v>1990.84</v>
      </c>
      <c r="F152" s="82">
        <v>0</v>
      </c>
      <c r="G152" s="83"/>
      <c r="H152" s="111"/>
    </row>
    <row r="153" spans="1:8" ht="15.75" thickBot="1" x14ac:dyDescent="0.3">
      <c r="A153" s="93"/>
      <c r="B153" s="94"/>
      <c r="C153" s="94" t="s">
        <v>115</v>
      </c>
      <c r="D153" s="256">
        <f>D136</f>
        <v>56897.154960514963</v>
      </c>
      <c r="E153" s="116">
        <f>E136</f>
        <v>35118.459999999992</v>
      </c>
      <c r="F153" s="257">
        <f>F136</f>
        <v>15000</v>
      </c>
      <c r="G153" s="240">
        <f>G136</f>
        <v>15300</v>
      </c>
      <c r="H153" s="241">
        <f>H136</f>
        <v>15600</v>
      </c>
    </row>
    <row r="154" spans="1:8" ht="15.75" thickBot="1" x14ac:dyDescent="0.3">
      <c r="A154" s="84"/>
      <c r="B154" s="84"/>
      <c r="C154" s="84"/>
      <c r="D154" s="113"/>
      <c r="E154" s="113"/>
      <c r="F154" s="114"/>
      <c r="G154" s="114"/>
      <c r="H154" s="114"/>
    </row>
    <row r="155" spans="1:8" ht="25.5" x14ac:dyDescent="0.25">
      <c r="A155" s="106">
        <v>4</v>
      </c>
      <c r="B155" s="107"/>
      <c r="C155" s="132" t="s">
        <v>142</v>
      </c>
      <c r="D155" s="250">
        <f>SUM(D156)</f>
        <v>401.89395447607671</v>
      </c>
      <c r="E155" s="250">
        <f t="shared" ref="E155:H155" si="36">SUM(E156)</f>
        <v>663.61</v>
      </c>
      <c r="F155" s="251">
        <f t="shared" si="36"/>
        <v>650</v>
      </c>
      <c r="G155" s="264">
        <f t="shared" si="36"/>
        <v>663</v>
      </c>
      <c r="H155" s="265">
        <f t="shared" si="36"/>
        <v>676</v>
      </c>
    </row>
    <row r="156" spans="1:8" ht="26.25" x14ac:dyDescent="0.25">
      <c r="A156" s="119"/>
      <c r="B156" s="120">
        <v>42</v>
      </c>
      <c r="C156" s="121" t="s">
        <v>112</v>
      </c>
      <c r="D156" s="271">
        <f>SUM(D157+D160)</f>
        <v>401.89395447607671</v>
      </c>
      <c r="E156" s="271">
        <f t="shared" ref="E156:F156" si="37">SUM(E157+E160)</f>
        <v>663.61</v>
      </c>
      <c r="F156" s="271">
        <f t="shared" si="37"/>
        <v>650</v>
      </c>
      <c r="G156" s="273">
        <f>F156*1.02</f>
        <v>663</v>
      </c>
      <c r="H156" s="274">
        <f>F156*1.04</f>
        <v>676</v>
      </c>
    </row>
    <row r="157" spans="1:8" x14ac:dyDescent="0.25">
      <c r="A157" s="122"/>
      <c r="B157" s="123">
        <v>422</v>
      </c>
      <c r="C157" s="124" t="s">
        <v>119</v>
      </c>
      <c r="D157" s="278"/>
      <c r="E157" s="275">
        <f t="shared" ref="E157:H157" si="38">SUM(E158:E159)</f>
        <v>0</v>
      </c>
      <c r="F157" s="275">
        <f t="shared" si="38"/>
        <v>0</v>
      </c>
      <c r="G157" s="276">
        <f t="shared" si="38"/>
        <v>0</v>
      </c>
      <c r="H157" s="277">
        <f t="shared" si="38"/>
        <v>0</v>
      </c>
    </row>
    <row r="158" spans="1:8" x14ac:dyDescent="0.25">
      <c r="A158" s="122"/>
      <c r="B158" s="123">
        <v>4221</v>
      </c>
      <c r="C158" s="124" t="s">
        <v>120</v>
      </c>
      <c r="D158" s="278"/>
      <c r="E158" s="275"/>
      <c r="F158" s="275"/>
      <c r="G158" s="276"/>
      <c r="H158" s="277"/>
    </row>
    <row r="159" spans="1:8" x14ac:dyDescent="0.25">
      <c r="A159" s="122"/>
      <c r="B159" s="123">
        <v>4222</v>
      </c>
      <c r="C159" s="124" t="s">
        <v>121</v>
      </c>
      <c r="D159" s="278"/>
      <c r="E159" s="275"/>
      <c r="F159" s="275"/>
      <c r="G159" s="276"/>
      <c r="H159" s="277"/>
    </row>
    <row r="160" spans="1:8" ht="26.25" x14ac:dyDescent="0.25">
      <c r="A160" s="122"/>
      <c r="B160" s="123">
        <v>424</v>
      </c>
      <c r="C160" s="124" t="s">
        <v>113</v>
      </c>
      <c r="D160" s="275">
        <f>SUM(D161)</f>
        <v>401.89395447607671</v>
      </c>
      <c r="E160" s="275">
        <f t="shared" ref="E160:H160" si="39">SUM(E161)</f>
        <v>663.61</v>
      </c>
      <c r="F160" s="275">
        <f t="shared" si="39"/>
        <v>650</v>
      </c>
      <c r="G160" s="276">
        <f t="shared" si="39"/>
        <v>0</v>
      </c>
      <c r="H160" s="277">
        <f t="shared" si="39"/>
        <v>0</v>
      </c>
    </row>
    <row r="161" spans="1:8" x14ac:dyDescent="0.25">
      <c r="A161" s="122"/>
      <c r="B161" s="123">
        <v>4241</v>
      </c>
      <c r="C161" s="124" t="s">
        <v>122</v>
      </c>
      <c r="D161" s="275">
        <f>3028.07/7.5345</f>
        <v>401.89395447607671</v>
      </c>
      <c r="E161" s="275">
        <v>663.61</v>
      </c>
      <c r="F161" s="275">
        <v>650</v>
      </c>
      <c r="G161" s="276"/>
      <c r="H161" s="277"/>
    </row>
    <row r="162" spans="1:8" ht="27" thickBot="1" x14ac:dyDescent="0.3">
      <c r="A162" s="125"/>
      <c r="B162" s="126"/>
      <c r="C162" s="134" t="s">
        <v>115</v>
      </c>
      <c r="D162" s="280">
        <f>D156</f>
        <v>401.89395447607671</v>
      </c>
      <c r="E162" s="280">
        <v>663.31</v>
      </c>
      <c r="F162" s="281">
        <f>F155</f>
        <v>650</v>
      </c>
      <c r="G162" s="282">
        <f>G156</f>
        <v>663</v>
      </c>
      <c r="H162" s="283">
        <f>H156</f>
        <v>676</v>
      </c>
    </row>
    <row r="163" spans="1:8" ht="15.75" thickBot="1" x14ac:dyDescent="0.3">
      <c r="A163" s="143"/>
      <c r="B163" s="143"/>
      <c r="C163" s="146"/>
      <c r="D163" s="284"/>
      <c r="E163" s="284"/>
      <c r="F163" s="285"/>
      <c r="G163" s="285"/>
      <c r="H163" s="285"/>
    </row>
    <row r="164" spans="1:8" x14ac:dyDescent="0.25">
      <c r="A164" s="147">
        <v>3</v>
      </c>
      <c r="B164" s="145"/>
      <c r="C164" s="249" t="s">
        <v>10</v>
      </c>
      <c r="D164" s="295">
        <f>D165+D176</f>
        <v>21476.708474351315</v>
      </c>
      <c r="E164" s="295">
        <f>SUM(E165+E176)</f>
        <v>26315.87</v>
      </c>
      <c r="F164" s="296">
        <f>SUM(F165+F176)</f>
        <v>33800</v>
      </c>
      <c r="G164" s="297">
        <f>SUM(G165+G176)</f>
        <v>34476</v>
      </c>
      <c r="H164" s="298">
        <f>SUM(H165+H176)</f>
        <v>35152</v>
      </c>
    </row>
    <row r="165" spans="1:8" x14ac:dyDescent="0.25">
      <c r="A165" s="105"/>
      <c r="B165" s="75">
        <v>31</v>
      </c>
      <c r="C165" s="71" t="s">
        <v>11</v>
      </c>
      <c r="D165" s="252">
        <f>SUM(D166+D170+D172)</f>
        <v>18678.266640122103</v>
      </c>
      <c r="E165" s="252">
        <f t="shared" ref="E165:F165" si="40">SUM(E166+E170+E172)</f>
        <v>23415.75</v>
      </c>
      <c r="F165" s="253">
        <f t="shared" si="40"/>
        <v>30300</v>
      </c>
      <c r="G165" s="254">
        <f>F165*1.02</f>
        <v>30906</v>
      </c>
      <c r="H165" s="255">
        <f>F165*1.04</f>
        <v>31512</v>
      </c>
    </row>
    <row r="166" spans="1:8" x14ac:dyDescent="0.25">
      <c r="A166" s="98"/>
      <c r="B166" s="12">
        <v>311</v>
      </c>
      <c r="C166" s="16" t="s">
        <v>79</v>
      </c>
      <c r="D166" s="78">
        <f>SUM(D167:D169)</f>
        <v>15736.470900524255</v>
      </c>
      <c r="E166" s="78">
        <f t="shared" ref="E166:F166" si="41">SUM(E167:E169)</f>
        <v>19791.63</v>
      </c>
      <c r="F166" s="78">
        <f t="shared" si="41"/>
        <v>20000</v>
      </c>
      <c r="G166" s="262"/>
      <c r="H166" s="266"/>
    </row>
    <row r="167" spans="1:8" x14ac:dyDescent="0.25">
      <c r="A167" s="98"/>
      <c r="B167" s="12">
        <v>3111</v>
      </c>
      <c r="C167" s="16" t="s">
        <v>80</v>
      </c>
      <c r="D167" s="78">
        <f>118566.44/7.5345</f>
        <v>15736.470900524255</v>
      </c>
      <c r="E167" s="80">
        <v>19791.63</v>
      </c>
      <c r="F167" s="80">
        <v>20000</v>
      </c>
      <c r="G167" s="235"/>
      <c r="H167" s="237"/>
    </row>
    <row r="168" spans="1:8" x14ac:dyDescent="0.25">
      <c r="A168" s="98"/>
      <c r="B168" s="12">
        <v>3113</v>
      </c>
      <c r="C168" s="16" t="s">
        <v>81</v>
      </c>
      <c r="D168" s="76"/>
      <c r="E168" s="80"/>
      <c r="F168" s="80"/>
      <c r="G168" s="235"/>
      <c r="H168" s="237"/>
    </row>
    <row r="169" spans="1:8" x14ac:dyDescent="0.25">
      <c r="A169" s="98"/>
      <c r="B169" s="12">
        <v>3114</v>
      </c>
      <c r="C169" s="13" t="s">
        <v>82</v>
      </c>
      <c r="D169" s="76"/>
      <c r="E169" s="80"/>
      <c r="F169" s="80"/>
      <c r="G169" s="235"/>
      <c r="H169" s="237"/>
    </row>
    <row r="170" spans="1:8" x14ac:dyDescent="0.25">
      <c r="A170" s="98"/>
      <c r="B170" s="12">
        <v>312</v>
      </c>
      <c r="C170" s="16" t="s">
        <v>83</v>
      </c>
      <c r="D170" s="78">
        <f>SUM(D171)</f>
        <v>716.7031654389807</v>
      </c>
      <c r="E170" s="78">
        <f t="shared" ref="E170:F170" si="42">SUM(E171)</f>
        <v>358.48</v>
      </c>
      <c r="F170" s="78">
        <f t="shared" si="42"/>
        <v>6300</v>
      </c>
      <c r="G170" s="262"/>
      <c r="H170" s="266"/>
    </row>
    <row r="171" spans="1:8" x14ac:dyDescent="0.25">
      <c r="A171" s="98"/>
      <c r="B171" s="12">
        <v>3121</v>
      </c>
      <c r="C171" s="16" t="s">
        <v>83</v>
      </c>
      <c r="D171" s="78">
        <f>5400/7.5345</f>
        <v>716.7031654389807</v>
      </c>
      <c r="E171" s="80">
        <v>358.48</v>
      </c>
      <c r="F171" s="80">
        <v>6300</v>
      </c>
      <c r="G171" s="235"/>
      <c r="H171" s="237"/>
    </row>
    <row r="172" spans="1:8" x14ac:dyDescent="0.25">
      <c r="A172" s="98"/>
      <c r="B172" s="12">
        <v>313</v>
      </c>
      <c r="C172" s="16" t="s">
        <v>84</v>
      </c>
      <c r="D172" s="78">
        <f>SUM(D173)</f>
        <v>2225.092574158869</v>
      </c>
      <c r="E172" s="78">
        <f t="shared" ref="E172:F172" si="43">SUM(E173)</f>
        <v>3265.64</v>
      </c>
      <c r="F172" s="78">
        <f t="shared" si="43"/>
        <v>4000</v>
      </c>
      <c r="G172" s="262"/>
      <c r="H172" s="266"/>
    </row>
    <row r="173" spans="1:8" x14ac:dyDescent="0.25">
      <c r="A173" s="98"/>
      <c r="B173" s="12">
        <v>3132</v>
      </c>
      <c r="C173" s="16" t="s">
        <v>85</v>
      </c>
      <c r="D173" s="78">
        <f>16764.96/7.5345</f>
        <v>2225.092574158869</v>
      </c>
      <c r="E173" s="80">
        <v>3265.64</v>
      </c>
      <c r="F173" s="80">
        <v>4000</v>
      </c>
      <c r="G173" s="235"/>
      <c r="H173" s="237"/>
    </row>
    <row r="174" spans="1:8" ht="15.75" thickBot="1" x14ac:dyDescent="0.3">
      <c r="A174" s="93"/>
      <c r="B174" s="94"/>
      <c r="C174" s="94" t="s">
        <v>123</v>
      </c>
      <c r="D174" s="256">
        <f>D165</f>
        <v>18678.266640122103</v>
      </c>
      <c r="E174" s="116">
        <v>23415.75</v>
      </c>
      <c r="F174" s="257">
        <f>F165</f>
        <v>30300</v>
      </c>
      <c r="G174" s="240">
        <f>G165</f>
        <v>30906</v>
      </c>
      <c r="H174" s="241">
        <f>H165</f>
        <v>31512</v>
      </c>
    </row>
    <row r="175" spans="1:8" ht="8.25" customHeight="1" thickBot="1" x14ac:dyDescent="0.3">
      <c r="A175" s="84"/>
      <c r="B175" s="84"/>
      <c r="C175" s="84"/>
      <c r="D175" s="113"/>
      <c r="E175" s="113"/>
      <c r="F175" s="114"/>
      <c r="G175" s="114"/>
      <c r="H175" s="114"/>
    </row>
    <row r="176" spans="1:8" x14ac:dyDescent="0.25">
      <c r="A176" s="96"/>
      <c r="B176" s="97">
        <v>32</v>
      </c>
      <c r="C176" s="97" t="s">
        <v>22</v>
      </c>
      <c r="D176" s="259">
        <f>SUM(D177+D179)</f>
        <v>2798.4418342292124</v>
      </c>
      <c r="E176" s="259">
        <f t="shared" ref="E176:F176" si="44">SUM(E177+E179)</f>
        <v>2900.12</v>
      </c>
      <c r="F176" s="260">
        <f t="shared" si="44"/>
        <v>3500</v>
      </c>
      <c r="G176" s="258">
        <f>F176*1.02</f>
        <v>3570</v>
      </c>
      <c r="H176" s="261">
        <f>F176*1.04</f>
        <v>3640</v>
      </c>
    </row>
    <row r="177" spans="1:8" x14ac:dyDescent="0.25">
      <c r="A177" s="98"/>
      <c r="B177" s="12">
        <v>321</v>
      </c>
      <c r="C177" s="12" t="s">
        <v>87</v>
      </c>
      <c r="D177" s="78">
        <f>SUM(D178)</f>
        <v>606.26318932908623</v>
      </c>
      <c r="E177" s="78">
        <f t="shared" ref="E177:F177" si="45">SUM(E178)</f>
        <v>776.56</v>
      </c>
      <c r="F177" s="78">
        <f t="shared" si="45"/>
        <v>1200</v>
      </c>
      <c r="G177" s="76"/>
      <c r="H177" s="99"/>
    </row>
    <row r="178" spans="1:8" ht="25.5" x14ac:dyDescent="0.25">
      <c r="A178" s="98"/>
      <c r="B178" s="12">
        <v>3212</v>
      </c>
      <c r="C178" s="77" t="s">
        <v>145</v>
      </c>
      <c r="D178" s="78">
        <f>4567.89/7.5345</f>
        <v>606.26318932908623</v>
      </c>
      <c r="E178" s="80">
        <v>776.56</v>
      </c>
      <c r="F178" s="80">
        <v>1200</v>
      </c>
      <c r="G178" s="72"/>
      <c r="H178" s="92"/>
    </row>
    <row r="179" spans="1:8" x14ac:dyDescent="0.25">
      <c r="A179" s="98"/>
      <c r="B179" s="12">
        <v>322</v>
      </c>
      <c r="C179" s="12" t="s">
        <v>92</v>
      </c>
      <c r="D179" s="78">
        <f>SUM(D180)</f>
        <v>2192.1786449001261</v>
      </c>
      <c r="E179" s="78">
        <f t="shared" ref="E179:F179" si="46">SUM(E180)</f>
        <v>2123.56</v>
      </c>
      <c r="F179" s="78">
        <f t="shared" si="46"/>
        <v>2300</v>
      </c>
      <c r="G179" s="76"/>
      <c r="H179" s="99"/>
    </row>
    <row r="180" spans="1:8" x14ac:dyDescent="0.25">
      <c r="A180" s="98"/>
      <c r="B180" s="12">
        <v>3222</v>
      </c>
      <c r="C180" s="12" t="s">
        <v>146</v>
      </c>
      <c r="D180" s="78">
        <f>16516.97/7.5345</f>
        <v>2192.1786449001261</v>
      </c>
      <c r="E180" s="80">
        <v>2123.56</v>
      </c>
      <c r="F180" s="80">
        <v>2300</v>
      </c>
      <c r="G180" s="72"/>
      <c r="H180" s="92"/>
    </row>
    <row r="181" spans="1:8" ht="15.75" thickBot="1" x14ac:dyDescent="0.3">
      <c r="A181" s="93"/>
      <c r="B181" s="94"/>
      <c r="C181" s="94" t="s">
        <v>123</v>
      </c>
      <c r="D181" s="256">
        <f>D176</f>
        <v>2798.4418342292124</v>
      </c>
      <c r="E181" s="116">
        <v>2900.12</v>
      </c>
      <c r="F181" s="257">
        <f>F176</f>
        <v>3500</v>
      </c>
      <c r="G181" s="240">
        <f>G176</f>
        <v>3570</v>
      </c>
      <c r="H181" s="241">
        <f>H176</f>
        <v>3640</v>
      </c>
    </row>
    <row r="182" spans="1:8" ht="15.75" thickBot="1" x14ac:dyDescent="0.3">
      <c r="A182" s="84"/>
      <c r="B182" s="84"/>
      <c r="C182" s="84"/>
      <c r="D182" s="113"/>
      <c r="E182" s="113"/>
      <c r="F182" s="114"/>
      <c r="G182" s="242"/>
      <c r="H182" s="242"/>
    </row>
    <row r="183" spans="1:8" x14ac:dyDescent="0.25">
      <c r="A183" s="106">
        <v>3</v>
      </c>
      <c r="B183" s="107"/>
      <c r="C183" s="107" t="s">
        <v>10</v>
      </c>
      <c r="D183" s="250">
        <f>SUM(D184+D212)</f>
        <v>50703.631296038213</v>
      </c>
      <c r="E183" s="250">
        <f>E184+E212</f>
        <v>47196.25</v>
      </c>
      <c r="F183" s="251">
        <f>SUM(F184+F212)</f>
        <v>49800</v>
      </c>
      <c r="G183" s="264">
        <f t="shared" ref="G183:H183" si="47">SUM(G184+G212)</f>
        <v>50796</v>
      </c>
      <c r="H183" s="265">
        <f t="shared" si="47"/>
        <v>51792</v>
      </c>
    </row>
    <row r="184" spans="1:8" x14ac:dyDescent="0.25">
      <c r="A184" s="105"/>
      <c r="B184" s="75">
        <v>32</v>
      </c>
      <c r="C184" s="75" t="s">
        <v>22</v>
      </c>
      <c r="D184" s="252">
        <f>SUM(D185+D190+D197+D206)</f>
        <v>49776.585042139479</v>
      </c>
      <c r="E184" s="252">
        <f>SUM(E185+E190+E197+E206)</f>
        <v>46784.81</v>
      </c>
      <c r="F184" s="253">
        <f t="shared" ref="F184" si="48">SUM(F185+F190+F197+F206)</f>
        <v>49000</v>
      </c>
      <c r="G184" s="254">
        <f>F184*1.02</f>
        <v>49980</v>
      </c>
      <c r="H184" s="255">
        <f>F184*1.04</f>
        <v>50960</v>
      </c>
    </row>
    <row r="185" spans="1:8" x14ac:dyDescent="0.25">
      <c r="A185" s="98"/>
      <c r="B185" s="12">
        <v>321</v>
      </c>
      <c r="C185" s="12" t="s">
        <v>87</v>
      </c>
      <c r="D185" s="78">
        <f>SUM(D186:D189)</f>
        <v>2950.3218528104053</v>
      </c>
      <c r="E185" s="78">
        <f t="shared" ref="E185:F185" si="49">SUM(E186:E189)</f>
        <v>3185.35</v>
      </c>
      <c r="F185" s="78">
        <f t="shared" si="49"/>
        <v>4500</v>
      </c>
      <c r="G185" s="76"/>
      <c r="H185" s="99"/>
    </row>
    <row r="186" spans="1:8" x14ac:dyDescent="0.25">
      <c r="A186" s="98"/>
      <c r="B186" s="12">
        <v>3211</v>
      </c>
      <c r="C186" s="12" t="s">
        <v>116</v>
      </c>
      <c r="D186" s="78">
        <f>16586.18/7.5345</f>
        <v>2201.3643904705023</v>
      </c>
      <c r="E186" s="80">
        <v>2256.29</v>
      </c>
      <c r="F186" s="80">
        <v>3000</v>
      </c>
      <c r="G186" s="72"/>
      <c r="H186" s="92"/>
    </row>
    <row r="187" spans="1:8" ht="25.5" x14ac:dyDescent="0.25">
      <c r="A187" s="98"/>
      <c r="B187" s="12">
        <v>3212</v>
      </c>
      <c r="C187" s="77" t="s">
        <v>105</v>
      </c>
      <c r="D187" s="78">
        <f>449.62/7.5345</f>
        <v>59.674829119384164</v>
      </c>
      <c r="E187" s="80"/>
      <c r="F187" s="80"/>
      <c r="G187" s="72"/>
      <c r="H187" s="92"/>
    </row>
    <row r="188" spans="1:8" x14ac:dyDescent="0.25">
      <c r="A188" s="98"/>
      <c r="B188" s="12">
        <v>3213</v>
      </c>
      <c r="C188" s="12" t="s">
        <v>124</v>
      </c>
      <c r="D188" s="78">
        <f>2400/7.5345</f>
        <v>318.53474019510253</v>
      </c>
      <c r="E188" s="80">
        <v>398.17</v>
      </c>
      <c r="F188" s="80">
        <v>1000</v>
      </c>
      <c r="G188" s="72"/>
      <c r="H188" s="92"/>
    </row>
    <row r="189" spans="1:8" ht="25.5" x14ac:dyDescent="0.25">
      <c r="A189" s="98"/>
      <c r="B189" s="12">
        <v>3214</v>
      </c>
      <c r="C189" s="77" t="s">
        <v>125</v>
      </c>
      <c r="D189" s="78">
        <f>2793.4/7.5345</f>
        <v>370.74789302541643</v>
      </c>
      <c r="E189" s="80">
        <v>530.89</v>
      </c>
      <c r="F189" s="80">
        <v>500</v>
      </c>
      <c r="G189" s="72"/>
      <c r="H189" s="92"/>
    </row>
    <row r="190" spans="1:8" x14ac:dyDescent="0.25">
      <c r="A190" s="98"/>
      <c r="B190" s="12">
        <v>322</v>
      </c>
      <c r="C190" s="12" t="s">
        <v>92</v>
      </c>
      <c r="D190" s="78">
        <f>SUM(D191:D196)</f>
        <v>31554.981750613835</v>
      </c>
      <c r="E190" s="78">
        <f t="shared" ref="E190:F190" si="50">SUM(E191:E196)</f>
        <v>30924.42</v>
      </c>
      <c r="F190" s="78">
        <f t="shared" si="50"/>
        <v>28300</v>
      </c>
      <c r="G190" s="76"/>
      <c r="H190" s="99"/>
    </row>
    <row r="191" spans="1:8" x14ac:dyDescent="0.25">
      <c r="A191" s="98"/>
      <c r="B191" s="12">
        <v>3221</v>
      </c>
      <c r="C191" s="12" t="s">
        <v>93</v>
      </c>
      <c r="D191" s="78">
        <f>90373.7/7.5345</f>
        <v>11994.65127082089</v>
      </c>
      <c r="E191" s="80">
        <v>7963.37</v>
      </c>
      <c r="F191" s="80">
        <v>6000</v>
      </c>
      <c r="G191" s="72"/>
      <c r="H191" s="92"/>
    </row>
    <row r="192" spans="1:8" x14ac:dyDescent="0.25">
      <c r="A192" s="98"/>
      <c r="B192" s="12">
        <v>3222</v>
      </c>
      <c r="C192" s="12" t="s">
        <v>94</v>
      </c>
      <c r="D192" s="78">
        <f>2444.76/7.5345</f>
        <v>324.47541309974122</v>
      </c>
      <c r="E192" s="80">
        <v>663.61</v>
      </c>
      <c r="F192" s="80">
        <v>500</v>
      </c>
      <c r="G192" s="72"/>
      <c r="H192" s="92"/>
    </row>
    <row r="193" spans="1:8" x14ac:dyDescent="0.25">
      <c r="A193" s="98"/>
      <c r="B193" s="12">
        <v>3223</v>
      </c>
      <c r="C193" s="77" t="s">
        <v>126</v>
      </c>
      <c r="D193" s="78">
        <f>124241.84/7.5345</f>
        <v>16489.725927400621</v>
      </c>
      <c r="E193" s="80">
        <v>20572.04</v>
      </c>
      <c r="F193" s="80">
        <v>20000</v>
      </c>
      <c r="G193" s="72"/>
      <c r="H193" s="92"/>
    </row>
    <row r="194" spans="1:8" ht="25.5" x14ac:dyDescent="0.25">
      <c r="A194" s="98"/>
      <c r="B194" s="12">
        <v>3224</v>
      </c>
      <c r="C194" s="77" t="s">
        <v>95</v>
      </c>
      <c r="D194" s="78">
        <f>11277.11/7.5345</f>
        <v>1496.7297100006635</v>
      </c>
      <c r="E194" s="80">
        <v>1061.78</v>
      </c>
      <c r="F194" s="80">
        <v>1000</v>
      </c>
      <c r="G194" s="72"/>
      <c r="H194" s="92"/>
    </row>
    <row r="195" spans="1:8" x14ac:dyDescent="0.25">
      <c r="A195" s="98"/>
      <c r="B195" s="12">
        <v>3225</v>
      </c>
      <c r="C195" s="12" t="s">
        <v>96</v>
      </c>
      <c r="D195" s="78">
        <f>7362.91/7.5345</f>
        <v>977.22609330413422</v>
      </c>
      <c r="E195" s="80">
        <v>265.45</v>
      </c>
      <c r="F195" s="80">
        <v>500</v>
      </c>
      <c r="G195" s="72"/>
      <c r="H195" s="92"/>
    </row>
    <row r="196" spans="1:8" ht="25.5" x14ac:dyDescent="0.25">
      <c r="A196" s="98"/>
      <c r="B196" s="12">
        <v>3227</v>
      </c>
      <c r="C196" s="77" t="s">
        <v>97</v>
      </c>
      <c r="D196" s="78">
        <f>2050.69/7.5345</f>
        <v>272.17333598778947</v>
      </c>
      <c r="E196" s="80">
        <v>398.17</v>
      </c>
      <c r="F196" s="80">
        <v>300</v>
      </c>
      <c r="G196" s="72"/>
      <c r="H196" s="92"/>
    </row>
    <row r="197" spans="1:8" x14ac:dyDescent="0.25">
      <c r="A197" s="98"/>
      <c r="B197" s="12">
        <v>323</v>
      </c>
      <c r="C197" s="12" t="s">
        <v>98</v>
      </c>
      <c r="D197" s="78">
        <f>SUM(D198:D205)</f>
        <v>13841.032583449465</v>
      </c>
      <c r="E197" s="78">
        <f t="shared" ref="E197:F197" si="51">SUM(E198:E205)</f>
        <v>11148.73</v>
      </c>
      <c r="F197" s="78">
        <f t="shared" si="51"/>
        <v>12600</v>
      </c>
      <c r="G197" s="76"/>
      <c r="H197" s="99"/>
    </row>
    <row r="198" spans="1:8" ht="25.5" x14ac:dyDescent="0.25">
      <c r="A198" s="98"/>
      <c r="B198" s="12">
        <v>3231</v>
      </c>
      <c r="C198" s="77" t="s">
        <v>127</v>
      </c>
      <c r="D198" s="78">
        <f>12825.89/7.5345</f>
        <v>1702.288141217068</v>
      </c>
      <c r="E198" s="80">
        <v>1725.4</v>
      </c>
      <c r="F198" s="80">
        <v>1800</v>
      </c>
      <c r="G198" s="72"/>
      <c r="H198" s="92"/>
    </row>
    <row r="199" spans="1:8" x14ac:dyDescent="0.25">
      <c r="A199" s="98"/>
      <c r="B199" s="12">
        <v>3232</v>
      </c>
      <c r="C199" s="12" t="s">
        <v>99</v>
      </c>
      <c r="D199" s="78">
        <f>25203.27/7.5345</f>
        <v>3345.0487756320922</v>
      </c>
      <c r="E199" s="80">
        <v>3185.35</v>
      </c>
      <c r="F199" s="80">
        <v>3000</v>
      </c>
      <c r="G199" s="72"/>
      <c r="H199" s="92"/>
    </row>
    <row r="200" spans="1:8" x14ac:dyDescent="0.25">
      <c r="A200" s="98"/>
      <c r="B200" s="12">
        <v>3233</v>
      </c>
      <c r="C200" s="12" t="s">
        <v>128</v>
      </c>
      <c r="D200" s="78">
        <f>4761/7.5345</f>
        <v>631.89329086203463</v>
      </c>
      <c r="E200" s="80">
        <v>132.72</v>
      </c>
      <c r="F200" s="80"/>
      <c r="G200" s="72"/>
      <c r="H200" s="92"/>
    </row>
    <row r="201" spans="1:8" x14ac:dyDescent="0.25">
      <c r="A201" s="98"/>
      <c r="B201" s="12">
        <v>3234</v>
      </c>
      <c r="C201" s="12" t="s">
        <v>100</v>
      </c>
      <c r="D201" s="78">
        <f>24857.4/7.5345</f>
        <v>3299.1439378857258</v>
      </c>
      <c r="E201" s="80">
        <v>3185.35</v>
      </c>
      <c r="F201" s="80">
        <v>3500</v>
      </c>
      <c r="G201" s="72"/>
      <c r="H201" s="92"/>
    </row>
    <row r="202" spans="1:8" x14ac:dyDescent="0.25">
      <c r="A202" s="98"/>
      <c r="B202" s="12">
        <v>3236</v>
      </c>
      <c r="C202" s="12" t="s">
        <v>106</v>
      </c>
      <c r="D202" s="78">
        <f>935/7.5345</f>
        <v>124.09582586767536</v>
      </c>
      <c r="E202" s="80">
        <v>1194.51</v>
      </c>
      <c r="F202" s="80">
        <v>2500</v>
      </c>
      <c r="G202" s="72"/>
      <c r="H202" s="92"/>
    </row>
    <row r="203" spans="1:8" x14ac:dyDescent="0.25">
      <c r="A203" s="98"/>
      <c r="B203" s="12">
        <v>3237</v>
      </c>
      <c r="C203" s="12" t="s">
        <v>129</v>
      </c>
      <c r="D203" s="78">
        <f>29083.32/7.5345</f>
        <v>3860.0199084212618</v>
      </c>
      <c r="E203" s="80">
        <v>265.45</v>
      </c>
      <c r="F203" s="80">
        <v>300</v>
      </c>
      <c r="G203" s="72"/>
      <c r="H203" s="92"/>
    </row>
    <row r="204" spans="1:8" x14ac:dyDescent="0.25">
      <c r="A204" s="98"/>
      <c r="B204" s="12">
        <v>3238</v>
      </c>
      <c r="C204" s="12" t="s">
        <v>130</v>
      </c>
      <c r="D204" s="78">
        <f>6138.38/7.5345</f>
        <v>814.70303271617229</v>
      </c>
      <c r="E204" s="80">
        <v>929.06</v>
      </c>
      <c r="F204" s="80">
        <v>1000</v>
      </c>
      <c r="G204" s="72"/>
      <c r="H204" s="92"/>
    </row>
    <row r="205" spans="1:8" x14ac:dyDescent="0.25">
      <c r="A205" s="98"/>
      <c r="B205" s="12">
        <v>3239</v>
      </c>
      <c r="C205" s="12" t="s">
        <v>101</v>
      </c>
      <c r="D205" s="78">
        <f>481/7.5345</f>
        <v>63.83967084743513</v>
      </c>
      <c r="E205" s="80">
        <v>530.89</v>
      </c>
      <c r="F205" s="80">
        <v>500</v>
      </c>
      <c r="G205" s="72"/>
      <c r="H205" s="92"/>
    </row>
    <row r="206" spans="1:8" ht="25.5" x14ac:dyDescent="0.25">
      <c r="A206" s="98"/>
      <c r="B206" s="12">
        <v>329</v>
      </c>
      <c r="C206" s="77" t="s">
        <v>89</v>
      </c>
      <c r="D206" s="78">
        <f>SUM(D207:D209)</f>
        <v>1430.2488552657771</v>
      </c>
      <c r="E206" s="78">
        <f t="shared" ref="E206:F206" si="52">SUM(E207:E209)</f>
        <v>1526.31</v>
      </c>
      <c r="F206" s="78">
        <f t="shared" si="52"/>
        <v>3600</v>
      </c>
      <c r="G206" s="76"/>
      <c r="H206" s="99"/>
    </row>
    <row r="207" spans="1:8" x14ac:dyDescent="0.25">
      <c r="A207" s="98"/>
      <c r="B207" s="12">
        <v>3294</v>
      </c>
      <c r="C207" s="12" t="s">
        <v>131</v>
      </c>
      <c r="D207" s="78">
        <f>1200/7.5345</f>
        <v>159.26737009755126</v>
      </c>
      <c r="E207" s="80">
        <v>199.08</v>
      </c>
      <c r="F207" s="80">
        <v>300</v>
      </c>
      <c r="G207" s="72"/>
      <c r="H207" s="92"/>
    </row>
    <row r="208" spans="1:8" x14ac:dyDescent="0.25">
      <c r="A208" s="98"/>
      <c r="B208" s="12">
        <v>3295</v>
      </c>
      <c r="C208" s="12" t="s">
        <v>132</v>
      </c>
      <c r="D208" s="78">
        <f>555/7.5345</f>
        <v>73.661158670117459</v>
      </c>
      <c r="E208" s="80">
        <v>0</v>
      </c>
      <c r="F208" s="80">
        <v>100</v>
      </c>
      <c r="G208" s="72"/>
      <c r="H208" s="92"/>
    </row>
    <row r="209" spans="1:8" ht="25.5" x14ac:dyDescent="0.25">
      <c r="A209" s="98"/>
      <c r="B209" s="12">
        <v>3299</v>
      </c>
      <c r="C209" s="77" t="s">
        <v>89</v>
      </c>
      <c r="D209" s="78">
        <f>9021.21/7.5345</f>
        <v>1197.3203264981084</v>
      </c>
      <c r="E209" s="80">
        <v>1327.23</v>
      </c>
      <c r="F209" s="80">
        <v>3200</v>
      </c>
      <c r="G209" s="72"/>
      <c r="H209" s="92"/>
    </row>
    <row r="210" spans="1:8" ht="15.75" thickBot="1" x14ac:dyDescent="0.3">
      <c r="A210" s="93"/>
      <c r="B210" s="94"/>
      <c r="C210" s="94" t="s">
        <v>133</v>
      </c>
      <c r="D210" s="256">
        <v>49776.59</v>
      </c>
      <c r="E210" s="116">
        <v>46784.81</v>
      </c>
      <c r="F210" s="257">
        <f>F184</f>
        <v>49000</v>
      </c>
      <c r="G210" s="240">
        <f>G184</f>
        <v>49980</v>
      </c>
      <c r="H210" s="241">
        <f>H184</f>
        <v>50960</v>
      </c>
    </row>
    <row r="211" spans="1:8" ht="15.75" thickBot="1" x14ac:dyDescent="0.3">
      <c r="A211" s="84"/>
      <c r="B211" s="84"/>
      <c r="C211" s="84"/>
      <c r="D211" s="113"/>
      <c r="E211" s="113"/>
      <c r="F211" s="114"/>
      <c r="G211" s="114"/>
      <c r="H211" s="114"/>
    </row>
    <row r="212" spans="1:8" x14ac:dyDescent="0.25">
      <c r="A212" s="96"/>
      <c r="B212" s="109">
        <v>34</v>
      </c>
      <c r="C212" s="109" t="s">
        <v>78</v>
      </c>
      <c r="D212" s="260">
        <f>SUM(D213)</f>
        <v>927.0462538987324</v>
      </c>
      <c r="E212" s="260">
        <f t="shared" ref="E212:F213" si="53">SUM(E213)</f>
        <v>411.44</v>
      </c>
      <c r="F212" s="260">
        <f t="shared" si="53"/>
        <v>800</v>
      </c>
      <c r="G212" s="258">
        <f>F212*1.02</f>
        <v>816</v>
      </c>
      <c r="H212" s="261">
        <f>F212*1.04</f>
        <v>832</v>
      </c>
    </row>
    <row r="213" spans="1:8" x14ac:dyDescent="0.25">
      <c r="A213" s="98"/>
      <c r="B213" s="12">
        <v>343</v>
      </c>
      <c r="C213" s="12" t="s">
        <v>109</v>
      </c>
      <c r="D213" s="78">
        <f>SUM(D214)</f>
        <v>927.0462538987324</v>
      </c>
      <c r="E213" s="78">
        <f t="shared" si="53"/>
        <v>411.44</v>
      </c>
      <c r="F213" s="78">
        <f t="shared" si="53"/>
        <v>800</v>
      </c>
      <c r="G213" s="76"/>
      <c r="H213" s="99"/>
    </row>
    <row r="214" spans="1:8" ht="25.5" x14ac:dyDescent="0.25">
      <c r="A214" s="98"/>
      <c r="B214" s="12">
        <v>3431</v>
      </c>
      <c r="C214" s="77" t="s">
        <v>134</v>
      </c>
      <c r="D214" s="78">
        <f>6984.83/7.5345</f>
        <v>927.0462538987324</v>
      </c>
      <c r="E214" s="78">
        <v>411.44</v>
      </c>
      <c r="F214" s="80">
        <v>800</v>
      </c>
      <c r="G214" s="72"/>
      <c r="H214" s="92"/>
    </row>
    <row r="215" spans="1:8" x14ac:dyDescent="0.25">
      <c r="A215" s="98"/>
      <c r="B215" s="12">
        <v>3433</v>
      </c>
      <c r="C215" s="12" t="s">
        <v>110</v>
      </c>
      <c r="D215" s="76"/>
      <c r="E215" s="78"/>
      <c r="F215" s="80"/>
      <c r="G215" s="235"/>
      <c r="H215" s="237"/>
    </row>
    <row r="216" spans="1:8" ht="15.75" thickBot="1" x14ac:dyDescent="0.3">
      <c r="A216" s="93"/>
      <c r="B216" s="115"/>
      <c r="C216" s="94" t="s">
        <v>133</v>
      </c>
      <c r="D216" s="256">
        <f>D212</f>
        <v>927.0462538987324</v>
      </c>
      <c r="E216" s="116">
        <v>411.44</v>
      </c>
      <c r="F216" s="257">
        <f>F212</f>
        <v>800</v>
      </c>
      <c r="G216" s="240">
        <f>G212</f>
        <v>816</v>
      </c>
      <c r="H216" s="241">
        <f>H212</f>
        <v>832</v>
      </c>
    </row>
    <row r="217" spans="1:8" ht="15.75" thickBot="1" x14ac:dyDescent="0.3">
      <c r="A217" s="84"/>
      <c r="B217" s="112"/>
      <c r="C217" s="84"/>
      <c r="D217" s="113"/>
      <c r="E217" s="113"/>
      <c r="F217" s="114"/>
      <c r="G217" s="114"/>
      <c r="H217" s="114"/>
    </row>
    <row r="218" spans="1:8" ht="39.75" customHeight="1" x14ac:dyDescent="0.25">
      <c r="A218" s="106">
        <v>4</v>
      </c>
      <c r="B218" s="103"/>
      <c r="C218" s="132" t="s">
        <v>142</v>
      </c>
      <c r="D218" s="250">
        <f>SUM(D219)</f>
        <v>4406.6082686309637</v>
      </c>
      <c r="E218" s="250">
        <f t="shared" ref="E218:H219" si="54">SUM(E219)</f>
        <v>0</v>
      </c>
      <c r="F218" s="250">
        <f t="shared" si="54"/>
        <v>0</v>
      </c>
      <c r="G218" s="264">
        <f t="shared" si="54"/>
        <v>0</v>
      </c>
      <c r="H218" s="265">
        <f t="shared" si="54"/>
        <v>0</v>
      </c>
    </row>
    <row r="219" spans="1:8" ht="39" x14ac:dyDescent="0.25">
      <c r="A219" s="119"/>
      <c r="B219" s="120">
        <v>42</v>
      </c>
      <c r="C219" s="121" t="s">
        <v>135</v>
      </c>
      <c r="D219" s="271">
        <f>SUM(D220)</f>
        <v>4406.6082686309637</v>
      </c>
      <c r="E219" s="271">
        <f t="shared" si="54"/>
        <v>0</v>
      </c>
      <c r="F219" s="271">
        <f t="shared" si="54"/>
        <v>0</v>
      </c>
      <c r="G219" s="273">
        <f t="shared" si="54"/>
        <v>0</v>
      </c>
      <c r="H219" s="274">
        <f t="shared" si="54"/>
        <v>0</v>
      </c>
    </row>
    <row r="220" spans="1:8" x14ac:dyDescent="0.25">
      <c r="A220" s="122"/>
      <c r="B220" s="123">
        <v>422</v>
      </c>
      <c r="C220" s="124" t="s">
        <v>119</v>
      </c>
      <c r="D220" s="275">
        <f>SUM(D221:D224)</f>
        <v>4406.6082686309637</v>
      </c>
      <c r="E220" s="275">
        <f t="shared" ref="E220:H220" si="55">SUM(E221:E224)</f>
        <v>0</v>
      </c>
      <c r="F220" s="275">
        <f t="shared" si="55"/>
        <v>0</v>
      </c>
      <c r="G220" s="276">
        <f t="shared" si="55"/>
        <v>0</v>
      </c>
      <c r="H220" s="277">
        <f t="shared" si="55"/>
        <v>0</v>
      </c>
    </row>
    <row r="221" spans="1:8" x14ac:dyDescent="0.25">
      <c r="A221" s="122"/>
      <c r="B221" s="123">
        <v>4221</v>
      </c>
      <c r="C221" s="124" t="s">
        <v>120</v>
      </c>
      <c r="D221" s="275">
        <f>33201.59/7.5345</f>
        <v>4406.6082686309637</v>
      </c>
      <c r="E221" s="278"/>
      <c r="F221" s="275"/>
      <c r="G221" s="276"/>
      <c r="H221" s="277"/>
    </row>
    <row r="222" spans="1:8" ht="26.25" x14ac:dyDescent="0.25">
      <c r="A222" s="122"/>
      <c r="B222" s="123">
        <v>4223</v>
      </c>
      <c r="C222" s="124" t="s">
        <v>136</v>
      </c>
      <c r="D222" s="278"/>
      <c r="E222" s="278"/>
      <c r="F222" s="275"/>
      <c r="G222" s="276"/>
      <c r="H222" s="277"/>
    </row>
    <row r="223" spans="1:8" x14ac:dyDescent="0.25">
      <c r="A223" s="122"/>
      <c r="B223" s="123">
        <v>4226</v>
      </c>
      <c r="C223" s="124" t="s">
        <v>137</v>
      </c>
      <c r="D223" s="278"/>
      <c r="E223" s="278"/>
      <c r="F223" s="275"/>
      <c r="G223" s="276"/>
      <c r="H223" s="277"/>
    </row>
    <row r="224" spans="1:8" x14ac:dyDescent="0.25">
      <c r="A224" s="122"/>
      <c r="B224" s="123">
        <v>4227</v>
      </c>
      <c r="C224" s="124" t="s">
        <v>138</v>
      </c>
      <c r="D224" s="278"/>
      <c r="E224" s="275">
        <v>0</v>
      </c>
      <c r="F224" s="275">
        <v>0</v>
      </c>
      <c r="G224" s="276"/>
      <c r="H224" s="277"/>
    </row>
    <row r="225" spans="1:8" x14ac:dyDescent="0.25">
      <c r="A225" s="136"/>
      <c r="B225" s="135"/>
      <c r="C225" s="135" t="s">
        <v>133</v>
      </c>
      <c r="D225" s="299">
        <f>D219</f>
        <v>4406.6082686309637</v>
      </c>
      <c r="E225" s="299">
        <v>0</v>
      </c>
      <c r="F225" s="299"/>
      <c r="G225" s="300"/>
      <c r="H225" s="301"/>
    </row>
    <row r="226" spans="1:8" x14ac:dyDescent="0.25">
      <c r="A226" s="110"/>
      <c r="B226" s="73"/>
      <c r="C226" s="73" t="s">
        <v>139</v>
      </c>
      <c r="D226" s="270">
        <v>0</v>
      </c>
      <c r="E226" s="82"/>
      <c r="F226" s="82"/>
      <c r="G226" s="238"/>
      <c r="H226" s="239"/>
    </row>
    <row r="227" spans="1:8" ht="34.5" customHeight="1" x14ac:dyDescent="0.25">
      <c r="A227" s="110">
        <v>4</v>
      </c>
      <c r="B227" s="73"/>
      <c r="C227" s="133" t="s">
        <v>118</v>
      </c>
      <c r="D227" s="270">
        <f>SUM(D228)</f>
        <v>0</v>
      </c>
      <c r="E227" s="270">
        <v>0</v>
      </c>
      <c r="F227" s="270">
        <f t="shared" ref="F227:H228" si="56">SUM(F228)</f>
        <v>0</v>
      </c>
      <c r="G227" s="302">
        <f t="shared" si="56"/>
        <v>0</v>
      </c>
      <c r="H227" s="303">
        <f t="shared" si="56"/>
        <v>0</v>
      </c>
    </row>
    <row r="228" spans="1:8" ht="39" x14ac:dyDescent="0.25">
      <c r="A228" s="119"/>
      <c r="B228" s="120">
        <v>42</v>
      </c>
      <c r="C228" s="121" t="s">
        <v>135</v>
      </c>
      <c r="D228" s="304"/>
      <c r="E228" s="271">
        <f>SUM(E229)</f>
        <v>0</v>
      </c>
      <c r="F228" s="271">
        <f t="shared" si="56"/>
        <v>0</v>
      </c>
      <c r="G228" s="273">
        <f t="shared" si="56"/>
        <v>0</v>
      </c>
      <c r="H228" s="274">
        <f t="shared" si="56"/>
        <v>0</v>
      </c>
    </row>
    <row r="229" spans="1:8" ht="15.75" thickBot="1" x14ac:dyDescent="0.3">
      <c r="A229" s="125"/>
      <c r="B229" s="126"/>
      <c r="C229" s="126" t="s">
        <v>140</v>
      </c>
      <c r="D229" s="305"/>
      <c r="E229" s="280">
        <v>0</v>
      </c>
      <c r="F229" s="305"/>
      <c r="G229" s="305"/>
      <c r="H229" s="306"/>
    </row>
    <row r="230" spans="1:8" ht="15.75" thickBot="1" x14ac:dyDescent="0.3">
      <c r="A230" s="137"/>
      <c r="B230" s="138"/>
      <c r="C230" s="139" t="s">
        <v>141</v>
      </c>
      <c r="D230" s="307">
        <f>SUM(D38+D57+D82+D125+D164+D183+D119+D155+D218+D226+D227+5201.65)</f>
        <v>930356.00186807336</v>
      </c>
      <c r="E230" s="307">
        <f>SUM(E38+E57+E82+E125+E164+E183+E119+E155+E218+E226+E227)</f>
        <v>914175.72000000009</v>
      </c>
      <c r="F230" s="307">
        <f>SUM(F38+F57+F82+F125+F164+F183+F119+F155+F218+F226+F227)</f>
        <v>958750</v>
      </c>
      <c r="G230" s="307">
        <f>SUM(G38+G57+G82+G125+G164+G183+G119+G155+G218+G226+G227)</f>
        <v>977925</v>
      </c>
      <c r="H230" s="308">
        <f>SUM(H38+H57+H82+H125+H164+H183+H119+H155+H218+H226+H227)</f>
        <v>997100</v>
      </c>
    </row>
    <row r="232" spans="1:8" ht="15.75" x14ac:dyDescent="0.25">
      <c r="A232" s="448" t="s">
        <v>247</v>
      </c>
      <c r="B232" s="448"/>
      <c r="C232" s="448"/>
      <c r="D232" s="448"/>
      <c r="E232" s="448" t="s">
        <v>243</v>
      </c>
      <c r="F232" s="449"/>
      <c r="G232" s="449"/>
      <c r="H232" s="448" t="s">
        <v>246</v>
      </c>
    </row>
    <row r="233" spans="1:8" ht="15.75" x14ac:dyDescent="0.25">
      <c r="A233" s="448" t="s">
        <v>248</v>
      </c>
      <c r="B233" s="448"/>
      <c r="C233" s="448"/>
      <c r="D233" s="448"/>
      <c r="E233" s="448" t="s">
        <v>244</v>
      </c>
      <c r="F233" s="449"/>
      <c r="G233" s="449"/>
      <c r="H233" s="448" t="s">
        <v>245</v>
      </c>
    </row>
  </sheetData>
  <mergeCells count="5">
    <mergeCell ref="A35:H35"/>
    <mergeCell ref="A1:H1"/>
    <mergeCell ref="A3:H3"/>
    <mergeCell ref="A5:H5"/>
    <mergeCell ref="A7:H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2"/>
  <sheetViews>
    <sheetView zoomScale="80" zoomScaleNormal="80" workbookViewId="0">
      <selection activeCell="A3" sqref="A3:F3"/>
    </sheetView>
  </sheetViews>
  <sheetFormatPr defaultRowHeight="15" x14ac:dyDescent="0.25"/>
  <cols>
    <col min="1" max="6" width="25.28515625" customWidth="1"/>
  </cols>
  <sheetData>
    <row r="1" spans="1:9" ht="42" customHeight="1" x14ac:dyDescent="0.25">
      <c r="A1" s="397" t="s">
        <v>32</v>
      </c>
      <c r="B1" s="397"/>
      <c r="C1" s="397"/>
      <c r="D1" s="397"/>
      <c r="E1" s="397"/>
      <c r="F1" s="397"/>
    </row>
    <row r="2" spans="1:9" ht="18" customHeight="1" x14ac:dyDescent="0.25">
      <c r="A2" s="25"/>
      <c r="B2" s="25"/>
      <c r="C2" s="25"/>
      <c r="D2" s="25"/>
      <c r="E2" s="25"/>
      <c r="F2" s="25"/>
    </row>
    <row r="3" spans="1:9" ht="15.75" customHeight="1" x14ac:dyDescent="0.25">
      <c r="A3" s="397" t="s">
        <v>19</v>
      </c>
      <c r="B3" s="397"/>
      <c r="C3" s="397"/>
      <c r="D3" s="397"/>
      <c r="E3" s="397"/>
      <c r="F3" s="397"/>
    </row>
    <row r="4" spans="1:9" ht="18" x14ac:dyDescent="0.25">
      <c r="B4" s="25"/>
      <c r="C4" s="25"/>
      <c r="D4" s="25"/>
      <c r="E4" s="5"/>
      <c r="F4" s="5"/>
    </row>
    <row r="5" spans="1:9" ht="18" customHeight="1" x14ac:dyDescent="0.25">
      <c r="A5" s="397" t="s">
        <v>4</v>
      </c>
      <c r="B5" s="397"/>
      <c r="C5" s="397"/>
      <c r="D5" s="397"/>
      <c r="E5" s="397"/>
      <c r="F5" s="397"/>
    </row>
    <row r="6" spans="1:9" ht="18" x14ac:dyDescent="0.25">
      <c r="A6" s="25"/>
      <c r="B6" s="25"/>
      <c r="C6" s="25"/>
      <c r="D6" s="25"/>
      <c r="E6" s="5"/>
      <c r="F6" s="5"/>
    </row>
    <row r="7" spans="1:9" ht="15.75" customHeight="1" x14ac:dyDescent="0.25">
      <c r="A7" s="397" t="s">
        <v>51</v>
      </c>
      <c r="B7" s="397"/>
      <c r="C7" s="397"/>
      <c r="D7" s="397"/>
      <c r="E7" s="397"/>
      <c r="F7" s="397"/>
    </row>
    <row r="8" spans="1:9" ht="18" x14ac:dyDescent="0.25">
      <c r="A8" s="25"/>
      <c r="B8" s="25"/>
      <c r="C8" s="25"/>
      <c r="D8" s="25"/>
      <c r="E8" s="5"/>
      <c r="F8" s="5"/>
    </row>
    <row r="9" spans="1:9" ht="25.5" x14ac:dyDescent="0.25">
      <c r="A9" s="21" t="s">
        <v>53</v>
      </c>
      <c r="B9" s="20" t="s">
        <v>35</v>
      </c>
      <c r="C9" s="21" t="s">
        <v>36</v>
      </c>
      <c r="D9" s="21" t="s">
        <v>33</v>
      </c>
      <c r="E9" s="21" t="s">
        <v>27</v>
      </c>
      <c r="F9" s="21" t="s">
        <v>34</v>
      </c>
    </row>
    <row r="10" spans="1:9" x14ac:dyDescent="0.25">
      <c r="A10" s="41" t="s">
        <v>0</v>
      </c>
      <c r="B10" s="234">
        <f>B11+B13+B15+B18+B21</f>
        <v>931450.47875174182</v>
      </c>
      <c r="C10" s="149">
        <f>C11+C13+C15+C18</f>
        <v>912184.88</v>
      </c>
      <c r="D10" s="149">
        <f>D11+D13+D15+D18+D21</f>
        <v>958750</v>
      </c>
      <c r="E10" s="149">
        <f>E11+E13+E15+E18+E21</f>
        <v>977925</v>
      </c>
      <c r="F10" s="149">
        <f t="shared" ref="F10" si="0">F11+F13+F15+F18+F21</f>
        <v>997100</v>
      </c>
      <c r="I10" s="247"/>
    </row>
    <row r="11" spans="1:9" x14ac:dyDescent="0.25">
      <c r="A11" s="26" t="s">
        <v>58</v>
      </c>
      <c r="B11" s="149">
        <f>B12</f>
        <v>3960.08</v>
      </c>
      <c r="C11" s="149">
        <f>C12</f>
        <v>3962.17</v>
      </c>
      <c r="D11" s="149">
        <f>D12</f>
        <v>3500</v>
      </c>
      <c r="E11" s="149">
        <f>E12</f>
        <v>3570</v>
      </c>
      <c r="F11" s="149">
        <f>F12</f>
        <v>3640</v>
      </c>
      <c r="H11" s="390"/>
    </row>
    <row r="12" spans="1:9" x14ac:dyDescent="0.25">
      <c r="A12" s="13" t="s">
        <v>59</v>
      </c>
      <c r="B12" s="9">
        <v>3960.08</v>
      </c>
      <c r="C12" s="9">
        <v>3962.17</v>
      </c>
      <c r="D12" s="9">
        <v>3500</v>
      </c>
      <c r="E12" s="9">
        <f>D12*1.02</f>
        <v>3570</v>
      </c>
      <c r="F12" s="9">
        <f>D12*1.04</f>
        <v>3640</v>
      </c>
    </row>
    <row r="13" spans="1:9" x14ac:dyDescent="0.25">
      <c r="A13" s="26" t="s">
        <v>155</v>
      </c>
      <c r="B13" s="148">
        <f>B14</f>
        <v>5055.4887517419866</v>
      </c>
      <c r="C13" s="148">
        <f>C14</f>
        <v>5587.63</v>
      </c>
      <c r="D13" s="148">
        <f>D14</f>
        <v>2500</v>
      </c>
      <c r="E13" s="148">
        <f>E14</f>
        <v>2550</v>
      </c>
      <c r="F13" s="148">
        <f>F14</f>
        <v>2600</v>
      </c>
    </row>
    <row r="14" spans="1:9" x14ac:dyDescent="0.25">
      <c r="A14" s="27" t="s">
        <v>154</v>
      </c>
      <c r="B14" s="8">
        <f>38090.58/7.5345</f>
        <v>5055.4887517419866</v>
      </c>
      <c r="C14" s="9">
        <v>5587.63</v>
      </c>
      <c r="D14" s="9">
        <v>2500</v>
      </c>
      <c r="E14" s="9">
        <f>D14*1.02</f>
        <v>2550</v>
      </c>
      <c r="F14" s="9">
        <f>D14*1.04</f>
        <v>2600</v>
      </c>
    </row>
    <row r="15" spans="1:9" ht="25.5" x14ac:dyDescent="0.25">
      <c r="A15" s="11" t="s">
        <v>56</v>
      </c>
      <c r="B15" s="150">
        <f>B16+B17</f>
        <v>100859.42</v>
      </c>
      <c r="C15" s="148">
        <f>C16+C17</f>
        <v>90084.290000000008</v>
      </c>
      <c r="D15" s="148">
        <f>D16+D17</f>
        <v>75450</v>
      </c>
      <c r="E15" s="148">
        <f>E16+E17</f>
        <v>76959</v>
      </c>
      <c r="F15" s="148">
        <f>F16+F17</f>
        <v>78468</v>
      </c>
    </row>
    <row r="16" spans="1:9" ht="25.5" x14ac:dyDescent="0.25">
      <c r="A16" s="18" t="s">
        <v>57</v>
      </c>
      <c r="B16" s="8">
        <v>46754.39</v>
      </c>
      <c r="C16" s="9">
        <v>42888.04</v>
      </c>
      <c r="D16" s="9">
        <v>25650</v>
      </c>
      <c r="E16" s="9">
        <f>D16*1.02</f>
        <v>26163</v>
      </c>
      <c r="F16" s="9">
        <f>D16*1.04</f>
        <v>26676</v>
      </c>
    </row>
    <row r="17" spans="1:6" ht="25.5" x14ac:dyDescent="0.25">
      <c r="A17" s="18" t="s">
        <v>152</v>
      </c>
      <c r="B17" s="8">
        <v>54105.03</v>
      </c>
      <c r="C17" s="9">
        <v>47196.25</v>
      </c>
      <c r="D17" s="9">
        <v>49800</v>
      </c>
      <c r="E17" s="9">
        <f>D17*1.02</f>
        <v>50796</v>
      </c>
      <c r="F17" s="9">
        <f>D17*1.04</f>
        <v>51792</v>
      </c>
    </row>
    <row r="18" spans="1:6" x14ac:dyDescent="0.25">
      <c r="A18" s="41" t="s">
        <v>54</v>
      </c>
      <c r="B18" s="244">
        <f>B19+B20</f>
        <v>819563.04999999993</v>
      </c>
      <c r="C18" s="148">
        <f>C19+C20</f>
        <v>812550.79</v>
      </c>
      <c r="D18" s="148">
        <f>D19+D20</f>
        <v>875800</v>
      </c>
      <c r="E18" s="148">
        <f>E19+E20</f>
        <v>893316</v>
      </c>
      <c r="F18" s="148">
        <f>F19+F20</f>
        <v>910832</v>
      </c>
    </row>
    <row r="19" spans="1:6" x14ac:dyDescent="0.25">
      <c r="A19" s="13" t="s">
        <v>153</v>
      </c>
      <c r="B19" s="8">
        <v>19983.580000000002</v>
      </c>
      <c r="C19" s="9">
        <v>26315.87</v>
      </c>
      <c r="D19" s="9">
        <v>33800</v>
      </c>
      <c r="E19" s="9">
        <f>D19*1.02</f>
        <v>34476</v>
      </c>
      <c r="F19" s="10">
        <f>D19*1.04</f>
        <v>35152</v>
      </c>
    </row>
    <row r="20" spans="1:6" x14ac:dyDescent="0.25">
      <c r="A20" s="13" t="s">
        <v>55</v>
      </c>
      <c r="B20" s="8">
        <v>799579.47</v>
      </c>
      <c r="C20" s="9">
        <v>786234.92</v>
      </c>
      <c r="D20" s="9">
        <v>842000</v>
      </c>
      <c r="E20" s="9">
        <f>D20*1.02</f>
        <v>858840</v>
      </c>
      <c r="F20" s="10">
        <f>D20*1.04</f>
        <v>875680</v>
      </c>
    </row>
    <row r="21" spans="1:6" x14ac:dyDescent="0.25">
      <c r="A21" s="243" t="s">
        <v>238</v>
      </c>
      <c r="B21" s="150">
        <f>B22</f>
        <v>2012.44</v>
      </c>
      <c r="C21" s="9">
        <v>0</v>
      </c>
      <c r="D21" s="148">
        <f>D22</f>
        <v>1500</v>
      </c>
      <c r="E21" s="148">
        <f t="shared" ref="E21:F21" si="1">E22</f>
        <v>1530</v>
      </c>
      <c r="F21" s="148">
        <f t="shared" si="1"/>
        <v>1560</v>
      </c>
    </row>
    <row r="22" spans="1:6" x14ac:dyDescent="0.25">
      <c r="A22" s="13" t="s">
        <v>237</v>
      </c>
      <c r="B22" s="9">
        <v>2012.44</v>
      </c>
      <c r="C22" s="9"/>
      <c r="D22" s="9">
        <v>1500</v>
      </c>
      <c r="E22" s="9">
        <f>D22*1.02</f>
        <v>1530</v>
      </c>
      <c r="F22" s="10">
        <f>D22*1.04</f>
        <v>1560</v>
      </c>
    </row>
    <row r="23" spans="1:6" ht="15.75" customHeight="1" x14ac:dyDescent="0.25"/>
    <row r="24" spans="1:6" ht="15.75" x14ac:dyDescent="0.25">
      <c r="A24" s="397" t="s">
        <v>52</v>
      </c>
      <c r="B24" s="397"/>
      <c r="C24" s="397"/>
      <c r="D24" s="397"/>
      <c r="E24" s="397"/>
      <c r="F24" s="397"/>
    </row>
    <row r="25" spans="1:6" ht="18" x14ac:dyDescent="0.25">
      <c r="A25" s="25"/>
      <c r="B25" s="25"/>
      <c r="C25" s="25"/>
      <c r="D25" s="25"/>
      <c r="E25" s="5"/>
      <c r="F25" s="5"/>
    </row>
    <row r="26" spans="1:6" ht="25.5" x14ac:dyDescent="0.25">
      <c r="A26" s="21" t="s">
        <v>53</v>
      </c>
      <c r="B26" s="20" t="s">
        <v>35</v>
      </c>
      <c r="C26" s="21" t="s">
        <v>36</v>
      </c>
      <c r="D26" s="21" t="s">
        <v>33</v>
      </c>
      <c r="E26" s="21" t="s">
        <v>27</v>
      </c>
      <c r="F26" s="21" t="s">
        <v>34</v>
      </c>
    </row>
    <row r="27" spans="1:6" ht="15.75" customHeight="1" x14ac:dyDescent="0.25">
      <c r="A27" s="41" t="s">
        <v>1</v>
      </c>
      <c r="B27" s="149">
        <f>B28+B30+B32+B35+B38</f>
        <v>930356.3899999999</v>
      </c>
      <c r="C27" s="149">
        <f>C28+C30+C32+C35+C38</f>
        <v>914175.88</v>
      </c>
      <c r="D27" s="149">
        <f>D28+D30+D32+D35+D38</f>
        <v>958750</v>
      </c>
      <c r="E27" s="149">
        <f t="shared" ref="E27:F27" si="2">E28+E30+E32+E35+E38</f>
        <v>977925</v>
      </c>
      <c r="F27" s="149">
        <f t="shared" si="2"/>
        <v>997100</v>
      </c>
    </row>
    <row r="28" spans="1:6" x14ac:dyDescent="0.25">
      <c r="A28" s="26" t="s">
        <v>58</v>
      </c>
      <c r="B28" s="148">
        <f>B29</f>
        <v>2954.87</v>
      </c>
      <c r="C28" s="148">
        <f>C29</f>
        <v>3962.17</v>
      </c>
      <c r="D28" s="148">
        <f>D29</f>
        <v>3500</v>
      </c>
      <c r="E28" s="148">
        <f t="shared" ref="E28:F28" si="3">E29</f>
        <v>3570</v>
      </c>
      <c r="F28" s="148">
        <f t="shared" si="3"/>
        <v>3640</v>
      </c>
    </row>
    <row r="29" spans="1:6" x14ac:dyDescent="0.25">
      <c r="A29" s="13" t="s">
        <v>59</v>
      </c>
      <c r="B29" s="8">
        <v>2954.87</v>
      </c>
      <c r="C29" s="9">
        <v>3962.17</v>
      </c>
      <c r="D29" s="9">
        <v>3500</v>
      </c>
      <c r="E29" s="9">
        <f>D29*1.02</f>
        <v>3570</v>
      </c>
      <c r="F29" s="9">
        <f>D29*1.04</f>
        <v>3640</v>
      </c>
    </row>
    <row r="30" spans="1:6" x14ac:dyDescent="0.25">
      <c r="A30" s="26" t="s">
        <v>60</v>
      </c>
      <c r="B30" s="148">
        <f>B31</f>
        <v>1487.0900000000001</v>
      </c>
      <c r="C30" s="148">
        <f>C31</f>
        <v>5587.63</v>
      </c>
      <c r="D30" s="148">
        <f>D31</f>
        <v>2500</v>
      </c>
      <c r="E30" s="148">
        <f t="shared" ref="E30:F30" si="4">E31</f>
        <v>2550</v>
      </c>
      <c r="F30" s="148">
        <f t="shared" si="4"/>
        <v>2600</v>
      </c>
    </row>
    <row r="31" spans="1:6" x14ac:dyDescent="0.25">
      <c r="A31" s="13" t="s">
        <v>61</v>
      </c>
      <c r="B31" s="8">
        <f>1358.65+30.74+97.7</f>
        <v>1487.0900000000001</v>
      </c>
      <c r="C31" s="9">
        <v>5587.63</v>
      </c>
      <c r="D31" s="9">
        <v>2500</v>
      </c>
      <c r="E31" s="9">
        <f>D31*1.02</f>
        <v>2550</v>
      </c>
      <c r="F31" s="10">
        <f>D31*1.04</f>
        <v>2600</v>
      </c>
    </row>
    <row r="32" spans="1:6" ht="25.5" x14ac:dyDescent="0.25">
      <c r="A32" s="11" t="s">
        <v>56</v>
      </c>
      <c r="B32" s="246">
        <f>B33+B34</f>
        <v>118988.32</v>
      </c>
      <c r="C32" s="246">
        <f>C33+C34</f>
        <v>92075.290000000008</v>
      </c>
      <c r="D32" s="246">
        <f>D33+D34</f>
        <v>75450</v>
      </c>
      <c r="E32" s="246">
        <f t="shared" ref="E32:F32" si="5">E33+E34</f>
        <v>76959</v>
      </c>
      <c r="F32" s="246">
        <f t="shared" si="5"/>
        <v>78468</v>
      </c>
    </row>
    <row r="33" spans="1:6" ht="25.5" x14ac:dyDescent="0.25">
      <c r="A33" s="18" t="s">
        <v>57</v>
      </c>
      <c r="B33" s="245">
        <f>401.89+43582.25+17217.94+3769.99-1094</f>
        <v>63878.07</v>
      </c>
      <c r="C33" s="245">
        <f>42888.04+1991</f>
        <v>44879.040000000001</v>
      </c>
      <c r="D33" s="245">
        <v>25650</v>
      </c>
      <c r="E33" s="245">
        <f>D33*1.02</f>
        <v>26163</v>
      </c>
      <c r="F33" s="245">
        <f>D33*1.04</f>
        <v>26676</v>
      </c>
    </row>
    <row r="34" spans="1:6" ht="25.5" x14ac:dyDescent="0.25">
      <c r="A34" s="18" t="s">
        <v>152</v>
      </c>
      <c r="B34" s="245">
        <f>49776.59+927.05+4406.61</f>
        <v>55110.25</v>
      </c>
      <c r="C34" s="245">
        <v>47196.25</v>
      </c>
      <c r="D34" s="245">
        <v>49800</v>
      </c>
      <c r="E34" s="245">
        <f>D34*1.02</f>
        <v>50796</v>
      </c>
      <c r="F34" s="245">
        <f>D34*1.04</f>
        <v>51792</v>
      </c>
    </row>
    <row r="35" spans="1:6" x14ac:dyDescent="0.25">
      <c r="A35" s="41" t="s">
        <v>54</v>
      </c>
      <c r="B35" s="246">
        <f>B36+B37</f>
        <v>806926.10999999987</v>
      </c>
      <c r="C35" s="246">
        <f>C36+C37</f>
        <v>812550.79</v>
      </c>
      <c r="D35" s="246">
        <f>D36+D37</f>
        <v>875800</v>
      </c>
      <c r="E35" s="246">
        <f t="shared" ref="E35:F35" si="6">E36+E37</f>
        <v>893316</v>
      </c>
      <c r="F35" s="246">
        <f t="shared" si="6"/>
        <v>910832</v>
      </c>
    </row>
    <row r="36" spans="1:6" x14ac:dyDescent="0.25">
      <c r="A36" s="13" t="s">
        <v>153</v>
      </c>
      <c r="B36" s="245">
        <f>18678.27+2798.44</f>
        <v>21476.71</v>
      </c>
      <c r="C36" s="245">
        <v>26315.87</v>
      </c>
      <c r="D36" s="245">
        <v>33800</v>
      </c>
      <c r="E36" s="245">
        <f>D36*1.02</f>
        <v>34476</v>
      </c>
      <c r="F36" s="245">
        <f>D36*1.04</f>
        <v>35152</v>
      </c>
    </row>
    <row r="37" spans="1:6" x14ac:dyDescent="0.25">
      <c r="A37" s="13" t="s">
        <v>55</v>
      </c>
      <c r="B37" s="248">
        <f>732602.94+1457.91+10554.14+2754.34+36986.07+1094</f>
        <v>785449.39999999991</v>
      </c>
      <c r="C37" s="245">
        <v>786234.92</v>
      </c>
      <c r="D37" s="245">
        <v>842000</v>
      </c>
      <c r="E37" s="245">
        <f>D37*1.02</f>
        <v>858840</v>
      </c>
      <c r="F37" s="245">
        <f>D37*1.04</f>
        <v>875680</v>
      </c>
    </row>
    <row r="38" spans="1:6" x14ac:dyDescent="0.25">
      <c r="A38" s="243" t="s">
        <v>238</v>
      </c>
      <c r="B38" s="246">
        <f>B39</f>
        <v>0</v>
      </c>
      <c r="C38" s="246">
        <f>C39</f>
        <v>0</v>
      </c>
      <c r="D38" s="246">
        <f>D39</f>
        <v>1500</v>
      </c>
      <c r="E38" s="246">
        <f t="shared" ref="E38:F38" si="7">E39</f>
        <v>1530</v>
      </c>
      <c r="F38" s="246">
        <f t="shared" si="7"/>
        <v>1560</v>
      </c>
    </row>
    <row r="39" spans="1:6" x14ac:dyDescent="0.25">
      <c r="A39" s="13" t="s">
        <v>237</v>
      </c>
      <c r="B39" s="245">
        <v>0</v>
      </c>
      <c r="C39" s="245">
        <v>0</v>
      </c>
      <c r="D39" s="245">
        <v>1500</v>
      </c>
      <c r="E39" s="245">
        <f>D39*1.02</f>
        <v>1530</v>
      </c>
      <c r="F39" s="245">
        <f>D39*1.04</f>
        <v>1560</v>
      </c>
    </row>
    <row r="41" spans="1:6" ht="15.75" x14ac:dyDescent="0.25">
      <c r="A41" s="448" t="s">
        <v>247</v>
      </c>
      <c r="B41" s="448"/>
      <c r="C41" s="448" t="s">
        <v>243</v>
      </c>
      <c r="D41" s="449"/>
      <c r="E41" s="449"/>
      <c r="F41" s="448" t="s">
        <v>246</v>
      </c>
    </row>
    <row r="42" spans="1:6" ht="15.75" x14ac:dyDescent="0.25">
      <c r="A42" s="448" t="s">
        <v>248</v>
      </c>
      <c r="B42" s="448"/>
      <c r="C42" s="448" t="s">
        <v>244</v>
      </c>
      <c r="D42" s="449"/>
      <c r="E42" s="449"/>
      <c r="F42" s="448" t="s">
        <v>245</v>
      </c>
    </row>
  </sheetData>
  <mergeCells count="5">
    <mergeCell ref="A1:F1"/>
    <mergeCell ref="A3:F3"/>
    <mergeCell ref="A5:F5"/>
    <mergeCell ref="A7:F7"/>
    <mergeCell ref="A24:F24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9"/>
  <sheetViews>
    <sheetView workbookViewId="0">
      <selection activeCell="A18" sqref="A18:F1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397" t="s">
        <v>32</v>
      </c>
      <c r="B1" s="397"/>
      <c r="C1" s="397"/>
      <c r="D1" s="397"/>
      <c r="E1" s="397"/>
      <c r="F1" s="39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397" t="s">
        <v>19</v>
      </c>
      <c r="B3" s="397"/>
      <c r="C3" s="397"/>
      <c r="D3" s="397"/>
      <c r="E3" s="410"/>
      <c r="F3" s="41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397" t="s">
        <v>4</v>
      </c>
      <c r="B5" s="398"/>
      <c r="C5" s="398"/>
      <c r="D5" s="398"/>
      <c r="E5" s="398"/>
      <c r="F5" s="39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397" t="s">
        <v>12</v>
      </c>
      <c r="B7" s="417"/>
      <c r="C7" s="417"/>
      <c r="D7" s="417"/>
      <c r="E7" s="417"/>
      <c r="F7" s="41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53</v>
      </c>
      <c r="B9" s="20" t="s">
        <v>35</v>
      </c>
      <c r="C9" s="21" t="s">
        <v>36</v>
      </c>
      <c r="D9" s="21" t="s">
        <v>33</v>
      </c>
      <c r="E9" s="21" t="s">
        <v>27</v>
      </c>
      <c r="F9" s="21" t="s">
        <v>34</v>
      </c>
    </row>
    <row r="10" spans="1:6" ht="15.75" customHeight="1" x14ac:dyDescent="0.25">
      <c r="A10" s="11" t="s">
        <v>13</v>
      </c>
      <c r="B10" s="150">
        <f t="shared" ref="B10:F11" si="0">B11</f>
        <v>930356.38</v>
      </c>
      <c r="C10" s="150">
        <f t="shared" si="0"/>
        <v>914175.72</v>
      </c>
      <c r="D10" s="150">
        <f t="shared" si="0"/>
        <v>958750</v>
      </c>
      <c r="E10" s="150">
        <f t="shared" si="0"/>
        <v>977925</v>
      </c>
      <c r="F10" s="150">
        <f>F11</f>
        <v>997100</v>
      </c>
    </row>
    <row r="11" spans="1:6" ht="15.75" customHeight="1" x14ac:dyDescent="0.25">
      <c r="A11" s="11" t="s">
        <v>156</v>
      </c>
      <c r="B11" s="8">
        <f t="shared" si="0"/>
        <v>930356.38</v>
      </c>
      <c r="C11" s="8">
        <f t="shared" si="0"/>
        <v>914175.72</v>
      </c>
      <c r="D11" s="8">
        <f t="shared" si="0"/>
        <v>958750</v>
      </c>
      <c r="E11" s="8">
        <f t="shared" si="0"/>
        <v>977925</v>
      </c>
      <c r="F11" s="8">
        <f t="shared" si="0"/>
        <v>997100</v>
      </c>
    </row>
    <row r="12" spans="1:6" x14ac:dyDescent="0.25">
      <c r="A12" s="18" t="s">
        <v>157</v>
      </c>
      <c r="B12" s="8">
        <f>B13+B14</f>
        <v>930356.38</v>
      </c>
      <c r="C12" s="8">
        <f>C13+C14</f>
        <v>914175.72</v>
      </c>
      <c r="D12" s="8">
        <f>D13+D14</f>
        <v>958750</v>
      </c>
      <c r="E12" s="9">
        <f>D12*1.02</f>
        <v>977925</v>
      </c>
      <c r="F12" s="9">
        <f>D12*1.04</f>
        <v>997100</v>
      </c>
    </row>
    <row r="13" spans="1:6" x14ac:dyDescent="0.25">
      <c r="A13" s="17" t="s">
        <v>158</v>
      </c>
      <c r="B13" s="8">
        <v>900412.21</v>
      </c>
      <c r="C13" s="9">
        <v>883815.52</v>
      </c>
      <c r="D13" s="9">
        <v>918750</v>
      </c>
      <c r="E13" s="9">
        <f>D13*1.02</f>
        <v>937125</v>
      </c>
      <c r="F13" s="9">
        <f>D13*1.04</f>
        <v>955500</v>
      </c>
    </row>
    <row r="14" spans="1:6" x14ac:dyDescent="0.25">
      <c r="A14" s="17" t="s">
        <v>159</v>
      </c>
      <c r="B14" s="8">
        <v>29944.17</v>
      </c>
      <c r="C14" s="9">
        <v>30360.2</v>
      </c>
      <c r="D14" s="9">
        <v>40000</v>
      </c>
      <c r="E14" s="9">
        <f>D14*1.02</f>
        <v>40800</v>
      </c>
      <c r="F14" s="9">
        <f>D14*1.04</f>
        <v>41600</v>
      </c>
    </row>
    <row r="15" spans="1:6" x14ac:dyDescent="0.25">
      <c r="A15" s="11" t="s">
        <v>14</v>
      </c>
      <c r="B15" s="8"/>
      <c r="C15" s="9"/>
      <c r="D15" s="9"/>
      <c r="E15" s="9"/>
      <c r="F15" s="10"/>
    </row>
    <row r="16" spans="1:6" ht="25.5" x14ac:dyDescent="0.25">
      <c r="A16" s="19" t="s">
        <v>15</v>
      </c>
      <c r="B16" s="8"/>
      <c r="C16" s="9"/>
      <c r="D16" s="9"/>
      <c r="E16" s="9"/>
      <c r="F16" s="10"/>
    </row>
    <row r="18" spans="1:6" x14ac:dyDescent="0.25">
      <c r="A18" t="s">
        <v>247</v>
      </c>
      <c r="C18" t="s">
        <v>243</v>
      </c>
      <c r="F18" t="s">
        <v>246</v>
      </c>
    </row>
    <row r="19" spans="1:6" x14ac:dyDescent="0.25">
      <c r="A19" t="s">
        <v>248</v>
      </c>
      <c r="C19" t="s">
        <v>244</v>
      </c>
      <c r="F19" t="s">
        <v>245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topLeftCell="A10"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397" t="s">
        <v>32</v>
      </c>
      <c r="B1" s="397"/>
      <c r="C1" s="397"/>
      <c r="D1" s="397"/>
      <c r="E1" s="397"/>
      <c r="F1" s="397"/>
      <c r="G1" s="397"/>
      <c r="H1" s="39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397" t="s">
        <v>19</v>
      </c>
      <c r="B3" s="397"/>
      <c r="C3" s="397"/>
      <c r="D3" s="397"/>
      <c r="E3" s="397"/>
      <c r="F3" s="397"/>
      <c r="G3" s="397"/>
      <c r="H3" s="39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397" t="s">
        <v>62</v>
      </c>
      <c r="B5" s="397"/>
      <c r="C5" s="397"/>
      <c r="D5" s="397"/>
      <c r="E5" s="397"/>
      <c r="F5" s="397"/>
      <c r="G5" s="397"/>
      <c r="H5" s="39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31</v>
      </c>
      <c r="D7" s="20" t="s">
        <v>35</v>
      </c>
      <c r="E7" s="21" t="s">
        <v>36</v>
      </c>
      <c r="F7" s="21" t="s">
        <v>33</v>
      </c>
      <c r="G7" s="21" t="s">
        <v>27</v>
      </c>
      <c r="H7" s="21" t="s">
        <v>34</v>
      </c>
    </row>
    <row r="8" spans="1:8" x14ac:dyDescent="0.25">
      <c r="A8" s="39"/>
      <c r="B8" s="40"/>
      <c r="C8" s="38" t="s">
        <v>64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23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67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17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397" t="s">
        <v>32</v>
      </c>
      <c r="B1" s="397"/>
      <c r="C1" s="397"/>
      <c r="D1" s="397"/>
      <c r="E1" s="397"/>
      <c r="F1" s="397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397" t="s">
        <v>19</v>
      </c>
      <c r="B3" s="397"/>
      <c r="C3" s="397"/>
      <c r="D3" s="397"/>
      <c r="E3" s="397"/>
      <c r="F3" s="397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397" t="s">
        <v>63</v>
      </c>
      <c r="B5" s="397"/>
      <c r="C5" s="397"/>
      <c r="D5" s="397"/>
      <c r="E5" s="397"/>
      <c r="F5" s="397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53</v>
      </c>
      <c r="B7" s="20" t="s">
        <v>35</v>
      </c>
      <c r="C7" s="21" t="s">
        <v>36</v>
      </c>
      <c r="D7" s="21" t="s">
        <v>33</v>
      </c>
      <c r="E7" s="21" t="s">
        <v>27</v>
      </c>
      <c r="F7" s="21" t="s">
        <v>34</v>
      </c>
    </row>
    <row r="8" spans="1:6" x14ac:dyDescent="0.25">
      <c r="A8" s="11" t="s">
        <v>64</v>
      </c>
      <c r="B8" s="8"/>
      <c r="C8" s="9"/>
      <c r="D8" s="9"/>
      <c r="E8" s="9"/>
      <c r="F8" s="9"/>
    </row>
    <row r="9" spans="1:6" ht="25.5" x14ac:dyDescent="0.25">
      <c r="A9" s="11" t="s">
        <v>65</v>
      </c>
      <c r="B9" s="8"/>
      <c r="C9" s="9"/>
      <c r="D9" s="9"/>
      <c r="E9" s="9"/>
      <c r="F9" s="9"/>
    </row>
    <row r="10" spans="1:6" ht="25.5" x14ac:dyDescent="0.25">
      <c r="A10" s="18" t="s">
        <v>66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67</v>
      </c>
      <c r="B12" s="8"/>
      <c r="C12" s="9"/>
      <c r="D12" s="9"/>
      <c r="E12" s="9"/>
      <c r="F12" s="9"/>
    </row>
    <row r="13" spans="1:6" x14ac:dyDescent="0.25">
      <c r="A13" s="26" t="s">
        <v>58</v>
      </c>
      <c r="B13" s="8"/>
      <c r="C13" s="9"/>
      <c r="D13" s="9"/>
      <c r="E13" s="9"/>
      <c r="F13" s="9"/>
    </row>
    <row r="14" spans="1:6" x14ac:dyDescent="0.25">
      <c r="A14" s="13" t="s">
        <v>59</v>
      </c>
      <c r="B14" s="8"/>
      <c r="C14" s="9"/>
      <c r="D14" s="9"/>
      <c r="E14" s="9"/>
      <c r="F14" s="10"/>
    </row>
    <row r="15" spans="1:6" x14ac:dyDescent="0.25">
      <c r="A15" s="26" t="s">
        <v>60</v>
      </c>
      <c r="B15" s="8"/>
      <c r="C15" s="9"/>
      <c r="D15" s="9"/>
      <c r="E15" s="9"/>
      <c r="F15" s="10"/>
    </row>
    <row r="16" spans="1:6" x14ac:dyDescent="0.25">
      <c r="A16" s="13" t="s">
        <v>61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43"/>
  <sheetViews>
    <sheetView tabSelected="1" topLeftCell="A232" zoomScaleNormal="100" workbookViewId="0">
      <selection activeCell="E245" sqref="E24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11" ht="42" customHeight="1" x14ac:dyDescent="0.25">
      <c r="A1" s="397" t="s">
        <v>32</v>
      </c>
      <c r="B1" s="397"/>
      <c r="C1" s="397"/>
      <c r="D1" s="397"/>
      <c r="E1" s="397"/>
      <c r="F1" s="397"/>
      <c r="G1" s="397"/>
      <c r="H1" s="397"/>
      <c r="I1" s="397"/>
    </row>
    <row r="2" spans="1:11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1" ht="18" customHeight="1" x14ac:dyDescent="0.25">
      <c r="A3" s="397" t="s">
        <v>18</v>
      </c>
      <c r="B3" s="398"/>
      <c r="C3" s="398"/>
      <c r="D3" s="398"/>
      <c r="E3" s="398"/>
      <c r="F3" s="398"/>
      <c r="G3" s="398"/>
      <c r="H3" s="398"/>
      <c r="I3" s="398"/>
    </row>
    <row r="4" spans="1:11" ht="18" x14ac:dyDescent="0.25">
      <c r="A4" s="4"/>
      <c r="B4" s="4"/>
      <c r="C4" s="4"/>
      <c r="D4" s="4"/>
      <c r="E4" s="4"/>
      <c r="F4" s="381"/>
      <c r="G4" s="4"/>
      <c r="H4" s="5"/>
      <c r="I4" s="5"/>
      <c r="K4" s="313"/>
    </row>
    <row r="5" spans="1:11" ht="26.25" thickBot="1" x14ac:dyDescent="0.3">
      <c r="A5" s="445" t="s">
        <v>20</v>
      </c>
      <c r="B5" s="446"/>
      <c r="C5" s="447"/>
      <c r="D5" s="87" t="s">
        <v>21</v>
      </c>
      <c r="E5" s="87" t="s">
        <v>35</v>
      </c>
      <c r="F5" s="86" t="s">
        <v>36</v>
      </c>
      <c r="G5" s="86" t="s">
        <v>33</v>
      </c>
      <c r="H5" s="86" t="s">
        <v>27</v>
      </c>
      <c r="I5" s="86" t="s">
        <v>34</v>
      </c>
    </row>
    <row r="6" spans="1:11" x14ac:dyDescent="0.25">
      <c r="A6" s="433" t="s">
        <v>160</v>
      </c>
      <c r="B6" s="434"/>
      <c r="C6" s="435"/>
      <c r="D6" s="151" t="s">
        <v>161</v>
      </c>
      <c r="E6" s="385">
        <f>E8+E41+E69+E104+E145+E190+E238+3843.16</f>
        <v>930356.00043665792</v>
      </c>
      <c r="F6" s="385">
        <f>F8+F41+F69+F104+F145+F190+F238</f>
        <v>914175.83000000007</v>
      </c>
      <c r="G6" s="385">
        <f>G8+G41+G69+G104+G145+G190+G238</f>
        <v>958750</v>
      </c>
      <c r="H6" s="385">
        <f>H8+H41+H69+H104+H145+H190+H238</f>
        <v>977925</v>
      </c>
      <c r="I6" s="385">
        <f>I8+I41+I69+I104+I145+I190+I238</f>
        <v>997100</v>
      </c>
    </row>
    <row r="7" spans="1:11" ht="30.75" customHeight="1" x14ac:dyDescent="0.25">
      <c r="A7" s="418" t="s">
        <v>162</v>
      </c>
      <c r="B7" s="419"/>
      <c r="C7" s="420"/>
      <c r="D7" s="64" t="s">
        <v>163</v>
      </c>
      <c r="E7" s="8"/>
      <c r="F7" s="9"/>
      <c r="G7" s="9"/>
      <c r="H7" s="9"/>
      <c r="I7" s="314"/>
    </row>
    <row r="8" spans="1:11" x14ac:dyDescent="0.25">
      <c r="A8" s="436" t="s">
        <v>164</v>
      </c>
      <c r="B8" s="437"/>
      <c r="C8" s="438"/>
      <c r="D8" s="152" t="s">
        <v>86</v>
      </c>
      <c r="E8" s="383">
        <f>SUM(E9+E28)</f>
        <v>3014.5392242351845</v>
      </c>
      <c r="F8" s="315">
        <f>SUM(F9+F28)</f>
        <v>3962.12</v>
      </c>
      <c r="G8" s="315">
        <f>SUM(G9+G28)</f>
        <v>3500</v>
      </c>
      <c r="H8" s="302">
        <f>SUM(H9+H28)</f>
        <v>3570</v>
      </c>
      <c r="I8" s="303">
        <f>SUM(I9+I28)</f>
        <v>3640</v>
      </c>
    </row>
    <row r="9" spans="1:11" x14ac:dyDescent="0.25">
      <c r="A9" s="439">
        <v>3</v>
      </c>
      <c r="B9" s="440"/>
      <c r="C9" s="441"/>
      <c r="D9" s="153" t="s">
        <v>10</v>
      </c>
      <c r="E9" s="316">
        <f>SUM(E10+E21)</f>
        <v>1740.4002634547744</v>
      </c>
      <c r="F9" s="317">
        <f t="shared" ref="F9:I9" si="0">SUM(F10+F21)</f>
        <v>2688.0299999999997</v>
      </c>
      <c r="G9" s="318">
        <f t="shared" si="0"/>
        <v>3500</v>
      </c>
      <c r="H9" s="316">
        <f>SUM(H10+H21)</f>
        <v>3570</v>
      </c>
      <c r="I9" s="319">
        <f t="shared" si="0"/>
        <v>3640</v>
      </c>
    </row>
    <row r="10" spans="1:11" x14ac:dyDescent="0.25">
      <c r="A10" s="442">
        <v>31</v>
      </c>
      <c r="B10" s="443"/>
      <c r="C10" s="444"/>
      <c r="D10" s="154" t="s">
        <v>11</v>
      </c>
      <c r="E10" s="254">
        <f>SUM(E11+E15+E17)</f>
        <v>1680.7302634547743</v>
      </c>
      <c r="F10" s="252">
        <f t="shared" ref="F10:G10" si="1">SUM(F11+F15+F17)</f>
        <v>2601.7599999999998</v>
      </c>
      <c r="G10" s="253">
        <f t="shared" si="1"/>
        <v>3400</v>
      </c>
      <c r="H10" s="254">
        <f>G10*1.02</f>
        <v>3468</v>
      </c>
      <c r="I10" s="255">
        <f>G10*1.04</f>
        <v>3536</v>
      </c>
    </row>
    <row r="11" spans="1:11" x14ac:dyDescent="0.25">
      <c r="A11" s="155">
        <v>311</v>
      </c>
      <c r="B11" s="68"/>
      <c r="C11" s="69"/>
      <c r="D11" s="67" t="s">
        <v>79</v>
      </c>
      <c r="E11" s="78">
        <f>SUM(E12:E14)</f>
        <v>1394.7215369301211</v>
      </c>
      <c r="F11" s="78">
        <f t="shared" ref="F11:G11" si="2">SUM(F12:F14)</f>
        <v>2198.9499999999998</v>
      </c>
      <c r="G11" s="78">
        <f t="shared" si="2"/>
        <v>2100</v>
      </c>
      <c r="H11" s="72"/>
      <c r="I11" s="176"/>
    </row>
    <row r="12" spans="1:11" x14ac:dyDescent="0.25">
      <c r="A12" s="155">
        <v>3111</v>
      </c>
      <c r="B12" s="68"/>
      <c r="C12" s="69"/>
      <c r="D12" s="16" t="s">
        <v>80</v>
      </c>
      <c r="E12" s="78">
        <f>(10508.56/7.5345)-1093.64</f>
        <v>301.08559559360242</v>
      </c>
      <c r="F12" s="80">
        <v>2198.9499999999998</v>
      </c>
      <c r="G12" s="80">
        <v>2100</v>
      </c>
      <c r="H12" s="72"/>
      <c r="I12" s="176"/>
    </row>
    <row r="13" spans="1:11" x14ac:dyDescent="0.25">
      <c r="A13" s="155">
        <v>3113</v>
      </c>
      <c r="B13" s="68"/>
      <c r="C13" s="69"/>
      <c r="D13" s="16" t="s">
        <v>81</v>
      </c>
      <c r="E13" s="78">
        <f>8240/7.5345</f>
        <v>1093.6359413365187</v>
      </c>
      <c r="F13" s="80"/>
      <c r="G13" s="80"/>
      <c r="H13" s="72"/>
      <c r="I13" s="176"/>
    </row>
    <row r="14" spans="1:11" x14ac:dyDescent="0.25">
      <c r="A14" s="155">
        <v>3114</v>
      </c>
      <c r="B14" s="68"/>
      <c r="C14" s="69"/>
      <c r="D14" s="16" t="s">
        <v>82</v>
      </c>
      <c r="E14" s="76"/>
      <c r="F14" s="80"/>
      <c r="G14" s="80"/>
      <c r="H14" s="72"/>
      <c r="I14" s="176"/>
    </row>
    <row r="15" spans="1:11" x14ac:dyDescent="0.25">
      <c r="A15" s="155">
        <v>312</v>
      </c>
      <c r="B15" s="68"/>
      <c r="C15" s="69"/>
      <c r="D15" s="11" t="s">
        <v>83</v>
      </c>
      <c r="E15" s="78">
        <f>SUM(E16)</f>
        <v>79.633685048775632</v>
      </c>
      <c r="F15" s="78">
        <f t="shared" ref="F15:G15" si="3">SUM(F16)</f>
        <v>40.08</v>
      </c>
      <c r="G15" s="78">
        <f t="shared" si="3"/>
        <v>700</v>
      </c>
      <c r="H15" s="72"/>
      <c r="I15" s="176"/>
    </row>
    <row r="16" spans="1:11" x14ac:dyDescent="0.25">
      <c r="A16" s="155">
        <v>3121</v>
      </c>
      <c r="B16" s="68"/>
      <c r="C16" s="69"/>
      <c r="D16" s="16" t="s">
        <v>83</v>
      </c>
      <c r="E16" s="78">
        <f>600/7.5345</f>
        <v>79.633685048775632</v>
      </c>
      <c r="F16" s="80">
        <v>40.08</v>
      </c>
      <c r="G16" s="80">
        <v>700</v>
      </c>
      <c r="H16" s="72"/>
      <c r="I16" s="176"/>
    </row>
    <row r="17" spans="1:9" x14ac:dyDescent="0.25">
      <c r="A17" s="155">
        <v>313</v>
      </c>
      <c r="B17" s="68"/>
      <c r="C17" s="69"/>
      <c r="D17" s="16" t="s">
        <v>85</v>
      </c>
      <c r="E17" s="78">
        <f>SUM(E18)</f>
        <v>206.37504147587759</v>
      </c>
      <c r="F17" s="78">
        <f t="shared" ref="F17:G17" si="4">SUM(F18)</f>
        <v>362.73</v>
      </c>
      <c r="G17" s="78">
        <f t="shared" si="4"/>
        <v>600</v>
      </c>
      <c r="H17" s="72"/>
      <c r="I17" s="176"/>
    </row>
    <row r="18" spans="1:9" ht="15.75" thickBot="1" x14ac:dyDescent="0.3">
      <c r="A18" s="156">
        <v>3132</v>
      </c>
      <c r="B18" s="157"/>
      <c r="C18" s="158"/>
      <c r="D18" s="159" t="s">
        <v>85</v>
      </c>
      <c r="E18" s="320">
        <f>(2914.91/7.5345)-180.5</f>
        <v>206.37504147587759</v>
      </c>
      <c r="F18" s="321">
        <v>362.73</v>
      </c>
      <c r="G18" s="321">
        <v>600</v>
      </c>
      <c r="H18" s="322"/>
      <c r="I18" s="323"/>
    </row>
    <row r="19" spans="1:9" x14ac:dyDescent="0.25">
      <c r="A19" s="433" t="s">
        <v>160</v>
      </c>
      <c r="B19" s="434"/>
      <c r="C19" s="435"/>
      <c r="D19" s="151" t="s">
        <v>161</v>
      </c>
      <c r="E19" s="324"/>
      <c r="F19" s="325"/>
      <c r="G19" s="325"/>
      <c r="H19" s="325"/>
      <c r="I19" s="326"/>
    </row>
    <row r="20" spans="1:9" ht="25.5" x14ac:dyDescent="0.25">
      <c r="A20" s="418" t="s">
        <v>162</v>
      </c>
      <c r="B20" s="419"/>
      <c r="C20" s="420"/>
      <c r="D20" s="64" t="s">
        <v>165</v>
      </c>
      <c r="E20" s="76"/>
      <c r="F20" s="72"/>
      <c r="G20" s="72"/>
      <c r="H20" s="72"/>
      <c r="I20" s="176"/>
    </row>
    <row r="21" spans="1:9" x14ac:dyDescent="0.25">
      <c r="A21" s="160">
        <v>32</v>
      </c>
      <c r="B21" s="161"/>
      <c r="C21" s="162"/>
      <c r="D21" s="154" t="s">
        <v>22</v>
      </c>
      <c r="E21" s="254">
        <f>SUM(E22+E24)</f>
        <v>59.67</v>
      </c>
      <c r="F21" s="252">
        <f t="shared" ref="F21:G21" si="5">SUM(F22+F24)</f>
        <v>86.27</v>
      </c>
      <c r="G21" s="253">
        <f t="shared" si="5"/>
        <v>100</v>
      </c>
      <c r="H21" s="254">
        <f>G21*1.02</f>
        <v>102</v>
      </c>
      <c r="I21" s="255">
        <f>G21*1.04</f>
        <v>104</v>
      </c>
    </row>
    <row r="22" spans="1:9" x14ac:dyDescent="0.25">
      <c r="A22" s="163">
        <v>321</v>
      </c>
      <c r="B22" s="63"/>
      <c r="C22" s="64"/>
      <c r="D22" s="12" t="s">
        <v>87</v>
      </c>
      <c r="E22" s="262">
        <f>SUM(E23)</f>
        <v>59.67</v>
      </c>
      <c r="F22" s="78">
        <f t="shared" ref="F22:G22" si="6">SUM(F23)</f>
        <v>86.27</v>
      </c>
      <c r="G22" s="78">
        <f t="shared" si="6"/>
        <v>100</v>
      </c>
      <c r="H22" s="72"/>
      <c r="I22" s="176"/>
    </row>
    <row r="23" spans="1:9" x14ac:dyDescent="0.25">
      <c r="A23" s="163">
        <v>3212</v>
      </c>
      <c r="B23" s="63"/>
      <c r="C23" s="64"/>
      <c r="D23" s="12" t="s">
        <v>88</v>
      </c>
      <c r="E23" s="262">
        <v>59.67</v>
      </c>
      <c r="F23" s="80">
        <v>86.27</v>
      </c>
      <c r="G23" s="80">
        <v>100</v>
      </c>
      <c r="H23" s="72"/>
      <c r="I23" s="176"/>
    </row>
    <row r="24" spans="1:9" x14ac:dyDescent="0.25">
      <c r="A24" s="163">
        <v>329</v>
      </c>
      <c r="B24" s="63"/>
      <c r="C24" s="64"/>
      <c r="D24" s="77" t="s">
        <v>166</v>
      </c>
      <c r="E24" s="262">
        <f>SUM(E25)</f>
        <v>0</v>
      </c>
      <c r="F24" s="78">
        <f t="shared" ref="F24:G24" si="7">SUM(F25)</f>
        <v>0</v>
      </c>
      <c r="G24" s="78">
        <f t="shared" si="7"/>
        <v>0</v>
      </c>
      <c r="H24" s="72"/>
      <c r="I24" s="176"/>
    </row>
    <row r="25" spans="1:9" ht="15.75" thickBot="1" x14ac:dyDescent="0.3">
      <c r="A25" s="164">
        <v>3291</v>
      </c>
      <c r="B25" s="165"/>
      <c r="C25" s="166"/>
      <c r="D25" s="167" t="s">
        <v>167</v>
      </c>
      <c r="E25" s="327">
        <v>0</v>
      </c>
      <c r="F25" s="328"/>
      <c r="G25" s="329">
        <v>0</v>
      </c>
      <c r="H25" s="328"/>
      <c r="I25" s="330"/>
    </row>
    <row r="26" spans="1:9" x14ac:dyDescent="0.25">
      <c r="A26" s="433" t="s">
        <v>160</v>
      </c>
      <c r="B26" s="434"/>
      <c r="C26" s="435"/>
      <c r="D26" s="168" t="s">
        <v>161</v>
      </c>
      <c r="E26" s="324"/>
      <c r="F26" s="325"/>
      <c r="G26" s="325"/>
      <c r="H26" s="325"/>
      <c r="I26" s="326"/>
    </row>
    <row r="27" spans="1:9" ht="27" customHeight="1" x14ac:dyDescent="0.25">
      <c r="A27" s="418" t="s">
        <v>168</v>
      </c>
      <c r="B27" s="419"/>
      <c r="C27" s="420"/>
      <c r="D27" s="169" t="s">
        <v>163</v>
      </c>
      <c r="E27" s="76"/>
      <c r="F27" s="72"/>
      <c r="G27" s="72"/>
      <c r="H27" s="72"/>
      <c r="I27" s="176"/>
    </row>
    <row r="28" spans="1:9" x14ac:dyDescent="0.25">
      <c r="A28" s="439">
        <v>3</v>
      </c>
      <c r="B28" s="440"/>
      <c r="C28" s="441"/>
      <c r="D28" s="153" t="s">
        <v>10</v>
      </c>
      <c r="E28" s="317">
        <f>SUM(E29)</f>
        <v>1274.1389607804101</v>
      </c>
      <c r="F28" s="317">
        <f t="shared" ref="F28:H28" si="8">SUM(F29)</f>
        <v>1274.0900000000001</v>
      </c>
      <c r="G28" s="317">
        <f t="shared" si="8"/>
        <v>0</v>
      </c>
      <c r="H28" s="317">
        <f t="shared" si="8"/>
        <v>0</v>
      </c>
      <c r="I28" s="331">
        <v>0</v>
      </c>
    </row>
    <row r="29" spans="1:9" x14ac:dyDescent="0.25">
      <c r="A29" s="442">
        <v>31</v>
      </c>
      <c r="B29" s="443"/>
      <c r="C29" s="444"/>
      <c r="D29" s="154" t="s">
        <v>11</v>
      </c>
      <c r="E29" s="252">
        <f>SUM(E30+E34+E36)</f>
        <v>1274.1389607804101</v>
      </c>
      <c r="F29" s="252">
        <f t="shared" ref="F29:G29" si="9">SUM(F30+F34+F36)</f>
        <v>1274.0900000000001</v>
      </c>
      <c r="G29" s="252">
        <f t="shared" si="9"/>
        <v>0</v>
      </c>
      <c r="H29" s="252">
        <v>0</v>
      </c>
      <c r="I29" s="332">
        <v>0</v>
      </c>
    </row>
    <row r="30" spans="1:9" x14ac:dyDescent="0.25">
      <c r="A30" s="155">
        <v>311</v>
      </c>
      <c r="B30" s="68"/>
      <c r="C30" s="69"/>
      <c r="D30" s="67" t="s">
        <v>79</v>
      </c>
      <c r="E30" s="78">
        <f>SUM(E31:E33)</f>
        <v>1093.6359413365187</v>
      </c>
      <c r="F30" s="78">
        <f t="shared" ref="F30:G30" si="10">SUM(F31:F33)</f>
        <v>1093.6400000000001</v>
      </c>
      <c r="G30" s="78">
        <f t="shared" si="10"/>
        <v>0</v>
      </c>
      <c r="H30" s="72"/>
      <c r="I30" s="176"/>
    </row>
    <row r="31" spans="1:9" x14ac:dyDescent="0.25">
      <c r="A31" s="155">
        <v>3111</v>
      </c>
      <c r="B31" s="68"/>
      <c r="C31" s="69"/>
      <c r="D31" s="16" t="s">
        <v>80</v>
      </c>
      <c r="E31" s="78">
        <f>8240/7.5345</f>
        <v>1093.6359413365187</v>
      </c>
      <c r="F31" s="80">
        <v>1093.6400000000001</v>
      </c>
      <c r="G31" s="80">
        <v>0</v>
      </c>
      <c r="H31" s="72"/>
      <c r="I31" s="176"/>
    </row>
    <row r="32" spans="1:9" x14ac:dyDescent="0.25">
      <c r="A32" s="155">
        <v>3113</v>
      </c>
      <c r="B32" s="68"/>
      <c r="C32" s="69"/>
      <c r="D32" s="16" t="s">
        <v>81</v>
      </c>
      <c r="E32" s="78"/>
      <c r="F32" s="72"/>
      <c r="G32" s="80"/>
      <c r="H32" s="72"/>
      <c r="I32" s="176"/>
    </row>
    <row r="33" spans="1:9" x14ac:dyDescent="0.25">
      <c r="A33" s="155">
        <v>3114</v>
      </c>
      <c r="B33" s="68"/>
      <c r="C33" s="69"/>
      <c r="D33" s="16" t="s">
        <v>82</v>
      </c>
      <c r="E33" s="78"/>
      <c r="F33" s="72"/>
      <c r="G33" s="80"/>
      <c r="H33" s="72"/>
      <c r="I33" s="176"/>
    </row>
    <row r="34" spans="1:9" x14ac:dyDescent="0.25">
      <c r="A34" s="155">
        <v>312</v>
      </c>
      <c r="B34" s="68"/>
      <c r="C34" s="69"/>
      <c r="D34" s="11" t="s">
        <v>83</v>
      </c>
      <c r="E34" s="78">
        <f>SUM(E35)</f>
        <v>0</v>
      </c>
      <c r="F34" s="78">
        <f t="shared" ref="F34:G34" si="11">SUM(F35)</f>
        <v>0</v>
      </c>
      <c r="G34" s="78">
        <f t="shared" si="11"/>
        <v>0</v>
      </c>
      <c r="H34" s="72"/>
      <c r="I34" s="176"/>
    </row>
    <row r="35" spans="1:9" x14ac:dyDescent="0.25">
      <c r="A35" s="155">
        <v>3121</v>
      </c>
      <c r="B35" s="68"/>
      <c r="C35" s="69"/>
      <c r="D35" s="16" t="s">
        <v>83</v>
      </c>
      <c r="E35" s="78"/>
      <c r="F35" s="80"/>
      <c r="G35" s="80"/>
      <c r="H35" s="72"/>
      <c r="I35" s="176"/>
    </row>
    <row r="36" spans="1:9" x14ac:dyDescent="0.25">
      <c r="A36" s="155">
        <v>313</v>
      </c>
      <c r="B36" s="68"/>
      <c r="C36" s="69"/>
      <c r="D36" s="16" t="s">
        <v>85</v>
      </c>
      <c r="E36" s="78">
        <f>SUM(E37)</f>
        <v>180.50301944389142</v>
      </c>
      <c r="F36" s="78">
        <f t="shared" ref="F36" si="12">SUM(F37)</f>
        <v>180.45</v>
      </c>
      <c r="G36" s="78">
        <f>G37</f>
        <v>0</v>
      </c>
      <c r="H36" s="72"/>
      <c r="I36" s="176"/>
    </row>
    <row r="37" spans="1:9" ht="15.75" thickBot="1" x14ac:dyDescent="0.3">
      <c r="A37" s="156">
        <v>3132</v>
      </c>
      <c r="B37" s="157"/>
      <c r="C37" s="158"/>
      <c r="D37" s="159" t="s">
        <v>85</v>
      </c>
      <c r="E37" s="320">
        <f>1360/7.5345</f>
        <v>180.50301944389142</v>
      </c>
      <c r="F37" s="321">
        <v>180.45</v>
      </c>
      <c r="G37" s="321">
        <v>0</v>
      </c>
      <c r="H37" s="322"/>
      <c r="I37" s="323"/>
    </row>
    <row r="38" spans="1:9" ht="15.75" thickBot="1" x14ac:dyDescent="0.3">
      <c r="A38" s="227"/>
      <c r="B38" s="229"/>
      <c r="C38" s="229"/>
      <c r="D38" s="310"/>
      <c r="E38" s="333"/>
      <c r="F38" s="333"/>
      <c r="G38" s="333"/>
      <c r="H38" s="334"/>
      <c r="I38" s="335"/>
    </row>
    <row r="39" spans="1:9" x14ac:dyDescent="0.25">
      <c r="A39" s="427" t="s">
        <v>160</v>
      </c>
      <c r="B39" s="428"/>
      <c r="C39" s="429"/>
      <c r="D39" s="309" t="s">
        <v>161</v>
      </c>
      <c r="E39" s="336"/>
      <c r="F39" s="337"/>
      <c r="G39" s="337"/>
      <c r="H39" s="337"/>
      <c r="I39" s="338"/>
    </row>
    <row r="40" spans="1:9" ht="39.75" customHeight="1" x14ac:dyDescent="0.25">
      <c r="A40" s="418" t="s">
        <v>221</v>
      </c>
      <c r="B40" s="419"/>
      <c r="C40" s="420"/>
      <c r="D40" s="169" t="s">
        <v>163</v>
      </c>
      <c r="E40" s="76"/>
      <c r="F40" s="72"/>
      <c r="G40" s="72"/>
      <c r="H40" s="72"/>
      <c r="I40" s="176"/>
    </row>
    <row r="41" spans="1:9" x14ac:dyDescent="0.25">
      <c r="A41" s="424" t="s">
        <v>169</v>
      </c>
      <c r="B41" s="425"/>
      <c r="C41" s="426"/>
      <c r="D41" s="170" t="s">
        <v>91</v>
      </c>
      <c r="E41" s="339">
        <f>E42+E63</f>
        <v>1487.0873979693408</v>
      </c>
      <c r="F41" s="340">
        <f>SUM(F42)</f>
        <v>5587.63</v>
      </c>
      <c r="G41" s="340">
        <f>SUM(G42)</f>
        <v>2500</v>
      </c>
      <c r="H41" s="341">
        <f t="shared" ref="H41:I41" si="13">SUM(H42)</f>
        <v>2550</v>
      </c>
      <c r="I41" s="342">
        <f t="shared" si="13"/>
        <v>2600</v>
      </c>
    </row>
    <row r="42" spans="1:9" x14ac:dyDescent="0.25">
      <c r="A42" s="171">
        <v>3</v>
      </c>
      <c r="B42" s="172"/>
      <c r="C42" s="173"/>
      <c r="D42" s="174" t="s">
        <v>10</v>
      </c>
      <c r="E42" s="343">
        <f>SUM(E43+E51)</f>
        <v>128.43984338708606</v>
      </c>
      <c r="F42" s="343">
        <f t="shared" ref="F42:I42" si="14">SUM(F43+F51)</f>
        <v>5587.63</v>
      </c>
      <c r="G42" s="344">
        <f>SUM(G43+G51)</f>
        <v>2500</v>
      </c>
      <c r="H42" s="345">
        <f t="shared" si="14"/>
        <v>2550</v>
      </c>
      <c r="I42" s="346">
        <f t="shared" si="14"/>
        <v>2600</v>
      </c>
    </row>
    <row r="43" spans="1:9" x14ac:dyDescent="0.25">
      <c r="A43" s="160">
        <v>31</v>
      </c>
      <c r="B43" s="161"/>
      <c r="C43" s="162"/>
      <c r="D43" s="154" t="s">
        <v>11</v>
      </c>
      <c r="E43" s="252">
        <f>SUM(E44+E47)</f>
        <v>97.699913730174515</v>
      </c>
      <c r="F43" s="252">
        <f t="shared" ref="F43:G43" si="15">SUM(F44+F47)</f>
        <v>943.12999999999988</v>
      </c>
      <c r="G43" s="253">
        <f t="shared" si="15"/>
        <v>1000</v>
      </c>
      <c r="H43" s="254">
        <f>G43*1.02</f>
        <v>1020</v>
      </c>
      <c r="I43" s="255">
        <f>G43*1.04</f>
        <v>1040</v>
      </c>
    </row>
    <row r="44" spans="1:9" x14ac:dyDescent="0.25">
      <c r="A44" s="175">
        <v>311</v>
      </c>
      <c r="B44" s="65"/>
      <c r="C44" s="66"/>
      <c r="D44" s="67" t="s">
        <v>79</v>
      </c>
      <c r="E44" s="78">
        <f>SUM(E45:E46)</f>
        <v>83.858252040613166</v>
      </c>
      <c r="F44" s="78">
        <f t="shared" ref="F44:G44" si="16">SUM(F45:F46)</f>
        <v>809.6099999999999</v>
      </c>
      <c r="G44" s="78">
        <f t="shared" si="16"/>
        <v>850</v>
      </c>
      <c r="H44" s="235"/>
      <c r="I44" s="236"/>
    </row>
    <row r="45" spans="1:9" x14ac:dyDescent="0.25">
      <c r="A45" s="175">
        <v>3113</v>
      </c>
      <c r="B45" s="65"/>
      <c r="C45" s="66"/>
      <c r="D45" s="16" t="s">
        <v>81</v>
      </c>
      <c r="E45" s="78">
        <f>572.53/7.5345</f>
        <v>75.987789501625841</v>
      </c>
      <c r="F45" s="80">
        <v>703.43</v>
      </c>
      <c r="G45" s="80">
        <v>730</v>
      </c>
      <c r="H45" s="235"/>
      <c r="I45" s="236"/>
    </row>
    <row r="46" spans="1:9" x14ac:dyDescent="0.25">
      <c r="A46" s="175">
        <v>3114</v>
      </c>
      <c r="B46" s="65"/>
      <c r="C46" s="66"/>
      <c r="D46" s="16" t="s">
        <v>82</v>
      </c>
      <c r="E46" s="78">
        <f>59.3/7.5345</f>
        <v>7.870462538987324</v>
      </c>
      <c r="F46" s="80">
        <v>106.18</v>
      </c>
      <c r="G46" s="80">
        <v>120</v>
      </c>
      <c r="H46" s="235"/>
      <c r="I46" s="236"/>
    </row>
    <row r="47" spans="1:9" x14ac:dyDescent="0.25">
      <c r="A47" s="175">
        <v>313</v>
      </c>
      <c r="B47" s="65"/>
      <c r="C47" s="66"/>
      <c r="D47" s="16" t="s">
        <v>85</v>
      </c>
      <c r="E47" s="78">
        <f>SUM(E48)</f>
        <v>13.84166168956135</v>
      </c>
      <c r="F47" s="78">
        <f t="shared" ref="F47:G47" si="17">SUM(F48)</f>
        <v>133.52000000000001</v>
      </c>
      <c r="G47" s="78">
        <f t="shared" si="17"/>
        <v>150</v>
      </c>
      <c r="H47" s="235"/>
      <c r="I47" s="236"/>
    </row>
    <row r="48" spans="1:9" x14ac:dyDescent="0.25">
      <c r="A48" s="175">
        <v>3132</v>
      </c>
      <c r="B48" s="65"/>
      <c r="C48" s="66"/>
      <c r="D48" s="16" t="s">
        <v>85</v>
      </c>
      <c r="E48" s="78">
        <f>104.29/7.5345</f>
        <v>13.84166168956135</v>
      </c>
      <c r="F48" s="80">
        <v>133.52000000000001</v>
      </c>
      <c r="G48" s="80">
        <v>150</v>
      </c>
      <c r="H48" s="235"/>
      <c r="I48" s="236"/>
    </row>
    <row r="49" spans="1:9" x14ac:dyDescent="0.25">
      <c r="A49" s="418" t="s">
        <v>160</v>
      </c>
      <c r="B49" s="419"/>
      <c r="C49" s="420"/>
      <c r="D49" s="64" t="s">
        <v>161</v>
      </c>
      <c r="E49" s="76"/>
      <c r="F49" s="72"/>
      <c r="G49" s="72"/>
      <c r="H49" s="235"/>
      <c r="I49" s="236"/>
    </row>
    <row r="50" spans="1:9" ht="41.25" customHeight="1" x14ac:dyDescent="0.25">
      <c r="A50" s="418" t="s">
        <v>221</v>
      </c>
      <c r="B50" s="419"/>
      <c r="C50" s="420"/>
      <c r="D50" s="64" t="s">
        <v>165</v>
      </c>
      <c r="E50" s="76"/>
      <c r="F50" s="72"/>
      <c r="G50" s="72"/>
      <c r="H50" s="235"/>
      <c r="I50" s="236"/>
    </row>
    <row r="51" spans="1:9" x14ac:dyDescent="0.25">
      <c r="A51" s="177">
        <v>32</v>
      </c>
      <c r="B51" s="178"/>
      <c r="C51" s="179"/>
      <c r="D51" s="154" t="s">
        <v>22</v>
      </c>
      <c r="E51" s="252">
        <f>SUM(E52+E58+E61)</f>
        <v>30.739929656911542</v>
      </c>
      <c r="F51" s="252">
        <f t="shared" ref="F51:G51" si="18">SUM(F52+F58+F61)</f>
        <v>4644.5</v>
      </c>
      <c r="G51" s="253">
        <f t="shared" si="18"/>
        <v>1500</v>
      </c>
      <c r="H51" s="254">
        <f>G51*1.02</f>
        <v>1530</v>
      </c>
      <c r="I51" s="255">
        <f>G51*1.04</f>
        <v>1560</v>
      </c>
    </row>
    <row r="52" spans="1:9" x14ac:dyDescent="0.25">
      <c r="A52" s="175">
        <v>322</v>
      </c>
      <c r="B52" s="65"/>
      <c r="C52" s="66"/>
      <c r="D52" s="42" t="s">
        <v>170</v>
      </c>
      <c r="E52" s="78"/>
      <c r="F52" s="78">
        <f t="shared" ref="F52" si="19">SUM(F53:F57)</f>
        <v>2255.4899999999998</v>
      </c>
      <c r="G52" s="78">
        <f>SUM(G53:G57)</f>
        <v>600</v>
      </c>
      <c r="H52" s="72"/>
      <c r="I52" s="176"/>
    </row>
    <row r="53" spans="1:9" ht="25.5" x14ac:dyDescent="0.25">
      <c r="A53" s="175">
        <v>3221</v>
      </c>
      <c r="B53" s="65"/>
      <c r="C53" s="66"/>
      <c r="D53" s="42" t="s">
        <v>171</v>
      </c>
      <c r="E53" s="76"/>
      <c r="F53" s="80">
        <v>717.37</v>
      </c>
      <c r="G53" s="80">
        <v>0</v>
      </c>
      <c r="H53" s="72"/>
      <c r="I53" s="176"/>
    </row>
    <row r="54" spans="1:9" x14ac:dyDescent="0.25">
      <c r="A54" s="175">
        <v>3222</v>
      </c>
      <c r="B54" s="65"/>
      <c r="C54" s="66"/>
      <c r="D54" s="42" t="s">
        <v>94</v>
      </c>
      <c r="E54" s="76"/>
      <c r="F54" s="80">
        <v>179.04</v>
      </c>
      <c r="G54" s="80">
        <v>100</v>
      </c>
      <c r="H54" s="72"/>
      <c r="I54" s="176"/>
    </row>
    <row r="55" spans="1:9" ht="25.5" x14ac:dyDescent="0.25">
      <c r="A55" s="175">
        <v>3224</v>
      </c>
      <c r="B55" s="65"/>
      <c r="C55" s="66"/>
      <c r="D55" s="42" t="s">
        <v>172</v>
      </c>
      <c r="E55" s="76"/>
      <c r="F55" s="80">
        <v>816.25</v>
      </c>
      <c r="G55" s="80">
        <v>500</v>
      </c>
      <c r="H55" s="72"/>
      <c r="I55" s="176"/>
    </row>
    <row r="56" spans="1:9" x14ac:dyDescent="0.25">
      <c r="A56" s="175">
        <v>3225</v>
      </c>
      <c r="B56" s="65"/>
      <c r="C56" s="66"/>
      <c r="D56" s="42" t="s">
        <v>96</v>
      </c>
      <c r="E56" s="76"/>
      <c r="F56" s="80">
        <v>410.11</v>
      </c>
      <c r="G56" s="80">
        <v>0</v>
      </c>
      <c r="H56" s="72"/>
      <c r="I56" s="176"/>
    </row>
    <row r="57" spans="1:9" x14ac:dyDescent="0.25">
      <c r="A57" s="175">
        <v>3227</v>
      </c>
      <c r="B57" s="65"/>
      <c r="C57" s="66"/>
      <c r="D57" s="42" t="s">
        <v>173</v>
      </c>
      <c r="E57" s="76"/>
      <c r="F57" s="80">
        <v>132.72</v>
      </c>
      <c r="G57" s="80">
        <v>0</v>
      </c>
      <c r="H57" s="72"/>
      <c r="I57" s="176"/>
    </row>
    <row r="58" spans="1:9" x14ac:dyDescent="0.25">
      <c r="A58" s="175">
        <v>323</v>
      </c>
      <c r="B58" s="65"/>
      <c r="C58" s="66"/>
      <c r="D58" s="42" t="s">
        <v>98</v>
      </c>
      <c r="E58" s="76"/>
      <c r="F58" s="78">
        <f t="shared" ref="F58" si="20">SUM(F59:F60)</f>
        <v>2389.0100000000002</v>
      </c>
      <c r="G58" s="78">
        <f>G59+G60</f>
        <v>900</v>
      </c>
      <c r="H58" s="72"/>
      <c r="I58" s="176"/>
    </row>
    <row r="59" spans="1:9" x14ac:dyDescent="0.25">
      <c r="A59" s="175">
        <v>3232</v>
      </c>
      <c r="B59" s="65"/>
      <c r="C59" s="66"/>
      <c r="D59" s="42" t="s">
        <v>99</v>
      </c>
      <c r="E59" s="76"/>
      <c r="F59" s="80">
        <v>1327.23</v>
      </c>
      <c r="G59" s="80">
        <v>400</v>
      </c>
      <c r="H59" s="72"/>
      <c r="I59" s="176"/>
    </row>
    <row r="60" spans="1:9" x14ac:dyDescent="0.25">
      <c r="A60" s="175">
        <v>3234</v>
      </c>
      <c r="B60" s="65"/>
      <c r="C60" s="66"/>
      <c r="D60" s="42" t="s">
        <v>100</v>
      </c>
      <c r="E60" s="76"/>
      <c r="F60" s="80">
        <v>1061.78</v>
      </c>
      <c r="G60" s="80">
        <v>500</v>
      </c>
      <c r="H60" s="72"/>
      <c r="I60" s="176"/>
    </row>
    <row r="61" spans="1:9" x14ac:dyDescent="0.25">
      <c r="A61" s="175">
        <v>329</v>
      </c>
      <c r="B61" s="65"/>
      <c r="C61" s="66"/>
      <c r="D61" s="42" t="s">
        <v>166</v>
      </c>
      <c r="E61" s="78">
        <f>SUM(E62)</f>
        <v>30.739929656911542</v>
      </c>
      <c r="F61" s="78">
        <f t="shared" ref="F61:G61" si="21">SUM(F62)</f>
        <v>0</v>
      </c>
      <c r="G61" s="78">
        <f t="shared" si="21"/>
        <v>0</v>
      </c>
      <c r="H61" s="72"/>
      <c r="I61" s="176"/>
    </row>
    <row r="62" spans="1:9" x14ac:dyDescent="0.25">
      <c r="A62" s="175">
        <v>3299</v>
      </c>
      <c r="B62" s="65"/>
      <c r="C62" s="66"/>
      <c r="D62" s="42" t="s">
        <v>166</v>
      </c>
      <c r="E62" s="78">
        <f>231.61/7.5345</f>
        <v>30.739929656911542</v>
      </c>
      <c r="F62" s="80">
        <v>0</v>
      </c>
      <c r="G62" s="80"/>
      <c r="H62" s="72"/>
      <c r="I62" s="176"/>
    </row>
    <row r="63" spans="1:9" x14ac:dyDescent="0.25">
      <c r="A63" s="180">
        <v>4</v>
      </c>
      <c r="B63" s="181"/>
      <c r="C63" s="182"/>
      <c r="D63" s="183" t="s">
        <v>174</v>
      </c>
      <c r="E63" s="347">
        <f>SUM(E64)</f>
        <v>1358.6475545822548</v>
      </c>
      <c r="F63" s="347">
        <f t="shared" ref="F63:I64" si="22">SUM(F64)</f>
        <v>0</v>
      </c>
      <c r="G63" s="347">
        <f t="shared" si="22"/>
        <v>0</v>
      </c>
      <c r="H63" s="348">
        <f t="shared" si="22"/>
        <v>0</v>
      </c>
      <c r="I63" s="349">
        <f t="shared" si="22"/>
        <v>0</v>
      </c>
    </row>
    <row r="64" spans="1:9" x14ac:dyDescent="0.25">
      <c r="A64" s="184">
        <v>42</v>
      </c>
      <c r="B64" s="185"/>
      <c r="C64" s="186"/>
      <c r="D64" s="154" t="s">
        <v>175</v>
      </c>
      <c r="E64" s="252">
        <f>SUM(E65)</f>
        <v>1358.6475545822548</v>
      </c>
      <c r="F64" s="252">
        <f t="shared" si="22"/>
        <v>0</v>
      </c>
      <c r="G64" s="252">
        <f t="shared" si="22"/>
        <v>0</v>
      </c>
      <c r="H64" s="254">
        <v>0</v>
      </c>
      <c r="I64" s="255">
        <v>0</v>
      </c>
    </row>
    <row r="65" spans="1:9" ht="15.75" thickBot="1" x14ac:dyDescent="0.3">
      <c r="A65" s="156">
        <v>4221</v>
      </c>
      <c r="B65" s="157"/>
      <c r="C65" s="158"/>
      <c r="D65" s="187" t="s">
        <v>120</v>
      </c>
      <c r="E65" s="320">
        <f>10236.73/7.5345</f>
        <v>1358.6475545822548</v>
      </c>
      <c r="F65" s="320">
        <f>SUM(F67)</f>
        <v>0</v>
      </c>
      <c r="G65" s="320">
        <f>SUM(G67)</f>
        <v>0</v>
      </c>
      <c r="H65" s="322"/>
      <c r="I65" s="350"/>
    </row>
    <row r="66" spans="1:9" ht="15.75" thickBot="1" x14ac:dyDescent="0.3">
      <c r="A66" s="227"/>
      <c r="B66" s="229"/>
      <c r="C66" s="229"/>
      <c r="D66" s="228"/>
      <c r="E66" s="333"/>
      <c r="F66" s="333"/>
      <c r="G66" s="333"/>
      <c r="H66" s="334"/>
      <c r="I66" s="351"/>
    </row>
    <row r="67" spans="1:9" x14ac:dyDescent="0.25">
      <c r="A67" s="427" t="s">
        <v>160</v>
      </c>
      <c r="B67" s="428"/>
      <c r="C67" s="429"/>
      <c r="D67" s="230" t="s">
        <v>161</v>
      </c>
      <c r="E67" s="336"/>
      <c r="F67" s="352"/>
      <c r="G67" s="337"/>
      <c r="H67" s="337"/>
      <c r="I67" s="338"/>
    </row>
    <row r="68" spans="1:9" ht="29.25" customHeight="1" x14ac:dyDescent="0.25">
      <c r="A68" s="418" t="s">
        <v>176</v>
      </c>
      <c r="B68" s="419"/>
      <c r="C68" s="420"/>
      <c r="D68" s="64" t="s">
        <v>163</v>
      </c>
      <c r="E68" s="76"/>
      <c r="F68" s="72"/>
      <c r="G68" s="72"/>
      <c r="H68" s="72"/>
      <c r="I68" s="176"/>
    </row>
    <row r="69" spans="1:9" x14ac:dyDescent="0.25">
      <c r="A69" s="424" t="s">
        <v>177</v>
      </c>
      <c r="B69" s="425"/>
      <c r="C69" s="426"/>
      <c r="D69" s="188" t="s">
        <v>123</v>
      </c>
      <c r="E69" s="340">
        <f>SUM(E70+E90+E97)</f>
        <v>21476.704019510249</v>
      </c>
      <c r="F69" s="340">
        <f>SUM(F70+F81+F90+F97)</f>
        <v>26315.870000000003</v>
      </c>
      <c r="G69" s="340">
        <f>SUM(G70+G81+G90+G97)</f>
        <v>33800</v>
      </c>
      <c r="H69" s="341">
        <f t="shared" ref="H69:I69" si="23">SUM(H70+H81+H90+H97)</f>
        <v>34476</v>
      </c>
      <c r="I69" s="342">
        <f t="shared" si="23"/>
        <v>35152</v>
      </c>
    </row>
    <row r="70" spans="1:9" x14ac:dyDescent="0.25">
      <c r="A70" s="189">
        <v>3</v>
      </c>
      <c r="B70" s="190"/>
      <c r="C70" s="191"/>
      <c r="D70" s="192" t="s">
        <v>10</v>
      </c>
      <c r="E70" s="317">
        <f>E71+E82</f>
        <v>19284.529829451189</v>
      </c>
      <c r="F70" s="317">
        <f t="shared" ref="F70:I70" si="24">SUM(F71)</f>
        <v>23415.75</v>
      </c>
      <c r="G70" s="318">
        <f>SUM(G71)</f>
        <v>30300</v>
      </c>
      <c r="H70" s="316">
        <f t="shared" si="24"/>
        <v>30906</v>
      </c>
      <c r="I70" s="319">
        <f t="shared" si="24"/>
        <v>31512</v>
      </c>
    </row>
    <row r="71" spans="1:9" x14ac:dyDescent="0.25">
      <c r="A71" s="184">
        <v>31</v>
      </c>
      <c r="B71" s="178"/>
      <c r="C71" s="179"/>
      <c r="D71" s="154" t="s">
        <v>11</v>
      </c>
      <c r="E71" s="252">
        <f>SUM(E72+E74+E76)</f>
        <v>18678.266640122103</v>
      </c>
      <c r="F71" s="252">
        <f t="shared" ref="F71:G71" si="25">SUM(F72+F74+F76)</f>
        <v>23415.75</v>
      </c>
      <c r="G71" s="253">
        <f t="shared" si="25"/>
        <v>30300</v>
      </c>
      <c r="H71" s="254">
        <f>G71*1.02</f>
        <v>30906</v>
      </c>
      <c r="I71" s="255">
        <f>G71*1.04</f>
        <v>31512</v>
      </c>
    </row>
    <row r="72" spans="1:9" x14ac:dyDescent="0.25">
      <c r="A72" s="175">
        <v>311</v>
      </c>
      <c r="B72" s="65"/>
      <c r="C72" s="66"/>
      <c r="D72" s="67" t="s">
        <v>79</v>
      </c>
      <c r="E72" s="78">
        <f>SUM(E73)</f>
        <v>15736.470900524255</v>
      </c>
      <c r="F72" s="78">
        <f t="shared" ref="F72:G72" si="26">SUM(F73)</f>
        <v>19791.63</v>
      </c>
      <c r="G72" s="78">
        <f t="shared" si="26"/>
        <v>20000</v>
      </c>
      <c r="H72" s="72"/>
      <c r="I72" s="176"/>
    </row>
    <row r="73" spans="1:9" x14ac:dyDescent="0.25">
      <c r="A73" s="175">
        <v>3111</v>
      </c>
      <c r="B73" s="65"/>
      <c r="C73" s="66"/>
      <c r="D73" s="16" t="s">
        <v>80</v>
      </c>
      <c r="E73" s="78">
        <f>118566.44/7.5345</f>
        <v>15736.470900524255</v>
      </c>
      <c r="F73" s="80">
        <v>19791.63</v>
      </c>
      <c r="G73" s="80">
        <v>20000</v>
      </c>
      <c r="H73" s="72"/>
      <c r="I73" s="176"/>
    </row>
    <row r="74" spans="1:9" x14ac:dyDescent="0.25">
      <c r="A74" s="175">
        <v>312</v>
      </c>
      <c r="B74" s="65"/>
      <c r="C74" s="66"/>
      <c r="D74" s="16" t="s">
        <v>83</v>
      </c>
      <c r="E74" s="78">
        <f>SUM(E75)</f>
        <v>716.7031654389807</v>
      </c>
      <c r="F74" s="78">
        <f t="shared" ref="F74:G74" si="27">SUM(F75)</f>
        <v>358.48</v>
      </c>
      <c r="G74" s="78">
        <f t="shared" si="27"/>
        <v>6300</v>
      </c>
      <c r="H74" s="72"/>
      <c r="I74" s="176"/>
    </row>
    <row r="75" spans="1:9" x14ac:dyDescent="0.25">
      <c r="A75" s="175">
        <v>3121</v>
      </c>
      <c r="B75" s="65"/>
      <c r="C75" s="66"/>
      <c r="D75" s="16" t="s">
        <v>83</v>
      </c>
      <c r="E75" s="78">
        <f>5400/7.5345</f>
        <v>716.7031654389807</v>
      </c>
      <c r="F75" s="80">
        <v>358.48</v>
      </c>
      <c r="G75" s="80">
        <v>6300</v>
      </c>
      <c r="H75" s="72"/>
      <c r="I75" s="176"/>
    </row>
    <row r="76" spans="1:9" x14ac:dyDescent="0.25">
      <c r="A76" s="175">
        <v>313</v>
      </c>
      <c r="B76" s="65"/>
      <c r="C76" s="66"/>
      <c r="D76" s="16" t="s">
        <v>85</v>
      </c>
      <c r="E76" s="78">
        <f>SUM(E77)</f>
        <v>2225.092574158869</v>
      </c>
      <c r="F76" s="78">
        <f t="shared" ref="F76:G76" si="28">SUM(F77)</f>
        <v>3265.64</v>
      </c>
      <c r="G76" s="78">
        <f t="shared" si="28"/>
        <v>4000</v>
      </c>
      <c r="H76" s="72"/>
      <c r="I76" s="176"/>
    </row>
    <row r="77" spans="1:9" x14ac:dyDescent="0.25">
      <c r="A77" s="175">
        <v>3132</v>
      </c>
      <c r="B77" s="65"/>
      <c r="C77" s="66"/>
      <c r="D77" s="16" t="s">
        <v>85</v>
      </c>
      <c r="E77" s="78">
        <f>16764.96/7.5345</f>
        <v>2225.092574158869</v>
      </c>
      <c r="F77" s="80">
        <v>3265.64</v>
      </c>
      <c r="G77" s="80">
        <v>4000</v>
      </c>
      <c r="H77" s="72"/>
      <c r="I77" s="176"/>
    </row>
    <row r="78" spans="1:9" x14ac:dyDescent="0.25">
      <c r="A78" s="418" t="s">
        <v>160</v>
      </c>
      <c r="B78" s="419"/>
      <c r="C78" s="420"/>
      <c r="D78" s="64" t="s">
        <v>161</v>
      </c>
      <c r="E78" s="76"/>
      <c r="F78" s="72"/>
      <c r="G78" s="72"/>
      <c r="H78" s="72"/>
      <c r="I78" s="176"/>
    </row>
    <row r="79" spans="1:9" ht="25.5" x14ac:dyDescent="0.25">
      <c r="A79" s="418" t="s">
        <v>178</v>
      </c>
      <c r="B79" s="419"/>
      <c r="C79" s="420"/>
      <c r="D79" s="64" t="s">
        <v>179</v>
      </c>
      <c r="E79" s="76"/>
      <c r="F79" s="72"/>
      <c r="G79" s="72"/>
      <c r="H79" s="72"/>
      <c r="I79" s="176"/>
    </row>
    <row r="80" spans="1:9" x14ac:dyDescent="0.25">
      <c r="A80" s="436" t="s">
        <v>177</v>
      </c>
      <c r="B80" s="437"/>
      <c r="C80" s="438"/>
      <c r="D80" s="193" t="s">
        <v>123</v>
      </c>
      <c r="E80" s="270">
        <f>SUM(E81)</f>
        <v>606.26318932908623</v>
      </c>
      <c r="F80" s="270">
        <f t="shared" ref="F80:I81" si="29">SUM(F81)</f>
        <v>776.56</v>
      </c>
      <c r="G80" s="315">
        <f t="shared" si="29"/>
        <v>1200</v>
      </c>
      <c r="H80" s="302">
        <f t="shared" si="29"/>
        <v>1224</v>
      </c>
      <c r="I80" s="303">
        <f t="shared" si="29"/>
        <v>1248</v>
      </c>
    </row>
    <row r="81" spans="1:9" x14ac:dyDescent="0.25">
      <c r="A81" s="189">
        <v>3</v>
      </c>
      <c r="B81" s="194"/>
      <c r="C81" s="195"/>
      <c r="D81" s="192" t="s">
        <v>10</v>
      </c>
      <c r="E81" s="317">
        <f>SUM(E82)</f>
        <v>606.26318932908623</v>
      </c>
      <c r="F81" s="317">
        <f t="shared" si="29"/>
        <v>776.56</v>
      </c>
      <c r="G81" s="318">
        <f t="shared" si="29"/>
        <v>1200</v>
      </c>
      <c r="H81" s="316">
        <f t="shared" si="29"/>
        <v>1224</v>
      </c>
      <c r="I81" s="319">
        <f t="shared" si="29"/>
        <v>1248</v>
      </c>
    </row>
    <row r="82" spans="1:9" x14ac:dyDescent="0.25">
      <c r="A82" s="160">
        <v>32</v>
      </c>
      <c r="B82" s="161"/>
      <c r="C82" s="162"/>
      <c r="D82" s="162" t="s">
        <v>22</v>
      </c>
      <c r="E82" s="252">
        <f>SUM(E83+E85)</f>
        <v>606.26318932908623</v>
      </c>
      <c r="F82" s="252">
        <f t="shared" ref="F82:G82" si="30">SUM(F83+F85)</f>
        <v>776.56</v>
      </c>
      <c r="G82" s="253">
        <f t="shared" si="30"/>
        <v>1200</v>
      </c>
      <c r="H82" s="254">
        <f>G82*1.02</f>
        <v>1224</v>
      </c>
      <c r="I82" s="255">
        <f>G82*1.04</f>
        <v>1248</v>
      </c>
    </row>
    <row r="83" spans="1:9" x14ac:dyDescent="0.25">
      <c r="A83" s="163">
        <v>321</v>
      </c>
      <c r="B83" s="63"/>
      <c r="C83" s="64"/>
      <c r="D83" s="12" t="s">
        <v>87</v>
      </c>
      <c r="E83" s="78">
        <f>SUM(E84)</f>
        <v>606.26318932908623</v>
      </c>
      <c r="F83" s="78">
        <f t="shared" ref="F83:G83" si="31">SUM(F84)</f>
        <v>776.56</v>
      </c>
      <c r="G83" s="78">
        <f t="shared" si="31"/>
        <v>1200</v>
      </c>
      <c r="H83" s="235"/>
      <c r="I83" s="236"/>
    </row>
    <row r="84" spans="1:9" x14ac:dyDescent="0.25">
      <c r="A84" s="163">
        <v>3212</v>
      </c>
      <c r="B84" s="63"/>
      <c r="C84" s="64"/>
      <c r="D84" s="12" t="s">
        <v>88</v>
      </c>
      <c r="E84" s="78">
        <f>4567.89/7.5345</f>
        <v>606.26318932908623</v>
      </c>
      <c r="F84" s="80">
        <v>776.56</v>
      </c>
      <c r="G84" s="80">
        <v>1200</v>
      </c>
      <c r="H84" s="72"/>
      <c r="I84" s="176"/>
    </row>
    <row r="85" spans="1:9" x14ac:dyDescent="0.25">
      <c r="A85" s="175">
        <v>322</v>
      </c>
      <c r="B85" s="65"/>
      <c r="C85" s="66"/>
      <c r="D85" s="42" t="s">
        <v>170</v>
      </c>
      <c r="E85" s="76"/>
      <c r="F85" s="78">
        <f t="shared" ref="F85:G85" si="32">SUM(F86)</f>
        <v>0</v>
      </c>
      <c r="G85" s="78">
        <f t="shared" si="32"/>
        <v>0</v>
      </c>
      <c r="H85" s="72"/>
      <c r="I85" s="176"/>
    </row>
    <row r="86" spans="1:9" ht="15.75" thickBot="1" x14ac:dyDescent="0.3">
      <c r="A86" s="196">
        <v>3222</v>
      </c>
      <c r="B86" s="197"/>
      <c r="C86" s="198"/>
      <c r="D86" s="199" t="s">
        <v>94</v>
      </c>
      <c r="E86" s="353"/>
      <c r="F86" s="322"/>
      <c r="G86" s="322"/>
      <c r="H86" s="322"/>
      <c r="I86" s="323"/>
    </row>
    <row r="87" spans="1:9" x14ac:dyDescent="0.25">
      <c r="A87" s="433" t="s">
        <v>160</v>
      </c>
      <c r="B87" s="434"/>
      <c r="C87" s="435"/>
      <c r="D87" s="151" t="s">
        <v>161</v>
      </c>
      <c r="E87" s="324"/>
      <c r="F87" s="325"/>
      <c r="G87" s="325"/>
      <c r="H87" s="325"/>
      <c r="I87" s="326"/>
    </row>
    <row r="88" spans="1:9" ht="25.5" x14ac:dyDescent="0.25">
      <c r="A88" s="418" t="s">
        <v>180</v>
      </c>
      <c r="B88" s="419"/>
      <c r="C88" s="420"/>
      <c r="D88" s="64" t="s">
        <v>179</v>
      </c>
      <c r="E88" s="76"/>
      <c r="F88" s="72"/>
      <c r="G88" s="72"/>
      <c r="H88" s="72"/>
      <c r="I88" s="176"/>
    </row>
    <row r="89" spans="1:9" x14ac:dyDescent="0.25">
      <c r="A89" s="436" t="s">
        <v>177</v>
      </c>
      <c r="B89" s="437"/>
      <c r="C89" s="438"/>
      <c r="D89" s="193" t="s">
        <v>123</v>
      </c>
      <c r="E89" s="270">
        <f>SUM(E90)</f>
        <v>975.40864490012609</v>
      </c>
      <c r="F89" s="270">
        <f t="shared" ref="F89:I92" si="33">SUM(F90)</f>
        <v>1306.68</v>
      </c>
      <c r="G89" s="315">
        <f t="shared" si="33"/>
        <v>2300</v>
      </c>
      <c r="H89" s="302">
        <f t="shared" si="33"/>
        <v>2346</v>
      </c>
      <c r="I89" s="303">
        <f t="shared" si="33"/>
        <v>2392</v>
      </c>
    </row>
    <row r="90" spans="1:9" x14ac:dyDescent="0.25">
      <c r="A90" s="189">
        <v>3</v>
      </c>
      <c r="B90" s="194"/>
      <c r="C90" s="195"/>
      <c r="D90" s="192" t="s">
        <v>10</v>
      </c>
      <c r="E90" s="317">
        <f>SUM(E91)</f>
        <v>975.40864490012609</v>
      </c>
      <c r="F90" s="317">
        <f t="shared" si="33"/>
        <v>1306.68</v>
      </c>
      <c r="G90" s="318">
        <f t="shared" si="33"/>
        <v>2300</v>
      </c>
      <c r="H90" s="316">
        <f t="shared" si="33"/>
        <v>2346</v>
      </c>
      <c r="I90" s="319">
        <f t="shared" si="33"/>
        <v>2392</v>
      </c>
    </row>
    <row r="91" spans="1:9" x14ac:dyDescent="0.25">
      <c r="A91" s="160">
        <v>32</v>
      </c>
      <c r="B91" s="161"/>
      <c r="C91" s="162"/>
      <c r="D91" s="162" t="s">
        <v>22</v>
      </c>
      <c r="E91" s="252">
        <f>SUM(E92)</f>
        <v>975.40864490012609</v>
      </c>
      <c r="F91" s="252">
        <f t="shared" si="33"/>
        <v>1306.68</v>
      </c>
      <c r="G91" s="253">
        <f t="shared" si="33"/>
        <v>2300</v>
      </c>
      <c r="H91" s="254">
        <f>G91*1.02</f>
        <v>2346</v>
      </c>
      <c r="I91" s="255">
        <f>G91*1.04</f>
        <v>2392</v>
      </c>
    </row>
    <row r="92" spans="1:9" x14ac:dyDescent="0.25">
      <c r="A92" s="175">
        <v>322</v>
      </c>
      <c r="B92" s="65"/>
      <c r="C92" s="66"/>
      <c r="D92" s="42" t="s">
        <v>170</v>
      </c>
      <c r="E92" s="78">
        <f>SUM(E93)</f>
        <v>975.40864490012609</v>
      </c>
      <c r="F92" s="78">
        <f t="shared" si="33"/>
        <v>1306.68</v>
      </c>
      <c r="G92" s="78">
        <f t="shared" si="33"/>
        <v>2300</v>
      </c>
      <c r="H92" s="72"/>
      <c r="I92" s="176"/>
    </row>
    <row r="93" spans="1:9" ht="15.75" thickBot="1" x14ac:dyDescent="0.3">
      <c r="A93" s="200">
        <v>3222</v>
      </c>
      <c r="B93" s="201"/>
      <c r="C93" s="202"/>
      <c r="D93" s="203" t="s">
        <v>94</v>
      </c>
      <c r="E93" s="354">
        <f>(16516.97/7.5345)-1216.77</f>
        <v>975.40864490012609</v>
      </c>
      <c r="F93" s="329">
        <v>1306.68</v>
      </c>
      <c r="G93" s="329">
        <v>2300</v>
      </c>
      <c r="H93" s="328"/>
      <c r="I93" s="330"/>
    </row>
    <row r="94" spans="1:9" x14ac:dyDescent="0.25">
      <c r="A94" s="433" t="s">
        <v>160</v>
      </c>
      <c r="B94" s="434"/>
      <c r="C94" s="435"/>
      <c r="D94" s="151" t="s">
        <v>161</v>
      </c>
      <c r="E94" s="324"/>
      <c r="F94" s="325"/>
      <c r="G94" s="325"/>
      <c r="H94" s="325"/>
      <c r="I94" s="326"/>
    </row>
    <row r="95" spans="1:9" ht="25.5" x14ac:dyDescent="0.25">
      <c r="A95" s="418" t="s">
        <v>181</v>
      </c>
      <c r="B95" s="419"/>
      <c r="C95" s="420"/>
      <c r="D95" s="64" t="s">
        <v>165</v>
      </c>
      <c r="E95" s="76"/>
      <c r="F95" s="72"/>
      <c r="G95" s="72"/>
      <c r="H95" s="72"/>
      <c r="I95" s="176"/>
    </row>
    <row r="96" spans="1:9" x14ac:dyDescent="0.25">
      <c r="A96" s="436" t="s">
        <v>177</v>
      </c>
      <c r="B96" s="437"/>
      <c r="C96" s="438"/>
      <c r="D96" s="193" t="s">
        <v>123</v>
      </c>
      <c r="E96" s="270">
        <f>SUM(E97)</f>
        <v>1216.7655451589353</v>
      </c>
      <c r="F96" s="270">
        <f t="shared" ref="F96:I99" si="34">SUM(F97)</f>
        <v>816.88</v>
      </c>
      <c r="G96" s="270">
        <f t="shared" si="34"/>
        <v>0</v>
      </c>
      <c r="H96" s="302">
        <f t="shared" si="34"/>
        <v>0</v>
      </c>
      <c r="I96" s="303">
        <f t="shared" si="34"/>
        <v>0</v>
      </c>
    </row>
    <row r="97" spans="1:9" x14ac:dyDescent="0.25">
      <c r="A97" s="189">
        <v>3</v>
      </c>
      <c r="B97" s="190"/>
      <c r="C97" s="191"/>
      <c r="D97" s="192" t="s">
        <v>10</v>
      </c>
      <c r="E97" s="317">
        <f>SUM(E98)</f>
        <v>1216.7655451589353</v>
      </c>
      <c r="F97" s="317">
        <f t="shared" si="34"/>
        <v>816.88</v>
      </c>
      <c r="G97" s="317">
        <f t="shared" si="34"/>
        <v>0</v>
      </c>
      <c r="H97" s="316">
        <f t="shared" si="34"/>
        <v>0</v>
      </c>
      <c r="I97" s="319">
        <f t="shared" si="34"/>
        <v>0</v>
      </c>
    </row>
    <row r="98" spans="1:9" x14ac:dyDescent="0.25">
      <c r="A98" s="204">
        <v>32</v>
      </c>
      <c r="B98" s="205"/>
      <c r="C98" s="206"/>
      <c r="D98" s="207" t="s">
        <v>22</v>
      </c>
      <c r="E98" s="355">
        <f>SUM(E99)</f>
        <v>1216.7655451589353</v>
      </c>
      <c r="F98" s="355">
        <f t="shared" si="34"/>
        <v>816.88</v>
      </c>
      <c r="G98" s="355">
        <f t="shared" si="34"/>
        <v>0</v>
      </c>
      <c r="H98" s="356">
        <v>0</v>
      </c>
      <c r="I98" s="357">
        <v>0</v>
      </c>
    </row>
    <row r="99" spans="1:9" x14ac:dyDescent="0.25">
      <c r="A99" s="175">
        <v>322</v>
      </c>
      <c r="B99" s="65"/>
      <c r="C99" s="66"/>
      <c r="D99" s="42" t="s">
        <v>170</v>
      </c>
      <c r="E99" s="78">
        <f>SUM(E100)</f>
        <v>1216.7655451589353</v>
      </c>
      <c r="F99" s="78">
        <f t="shared" si="34"/>
        <v>816.88</v>
      </c>
      <c r="G99" s="78">
        <v>0</v>
      </c>
      <c r="H99" s="72"/>
      <c r="I99" s="176"/>
    </row>
    <row r="100" spans="1:9" ht="15.75" thickBot="1" x14ac:dyDescent="0.3">
      <c r="A100" s="200">
        <v>3222</v>
      </c>
      <c r="B100" s="201"/>
      <c r="C100" s="202"/>
      <c r="D100" s="203" t="s">
        <v>94</v>
      </c>
      <c r="E100" s="354">
        <f>9167.72/7.5345</f>
        <v>1216.7655451589353</v>
      </c>
      <c r="F100" s="329">
        <v>816.88</v>
      </c>
      <c r="G100" s="328"/>
      <c r="H100" s="328"/>
      <c r="I100" s="330"/>
    </row>
    <row r="101" spans="1:9" ht="15.75" thickBot="1" x14ac:dyDescent="0.3">
      <c r="A101" s="225"/>
      <c r="B101" s="225"/>
      <c r="C101" s="225"/>
      <c r="D101" s="127"/>
      <c r="E101" s="113"/>
      <c r="F101" s="113"/>
      <c r="G101" s="114"/>
      <c r="H101" s="114"/>
      <c r="I101" s="358"/>
    </row>
    <row r="102" spans="1:9" x14ac:dyDescent="0.25">
      <c r="A102" s="433" t="s">
        <v>160</v>
      </c>
      <c r="B102" s="434"/>
      <c r="C102" s="435"/>
      <c r="D102" s="151" t="s">
        <v>161</v>
      </c>
      <c r="E102" s="324"/>
      <c r="F102" s="325"/>
      <c r="G102" s="325"/>
      <c r="H102" s="325"/>
      <c r="I102" s="326"/>
    </row>
    <row r="103" spans="1:9" ht="40.5" customHeight="1" x14ac:dyDescent="0.25">
      <c r="A103" s="418" t="s">
        <v>182</v>
      </c>
      <c r="B103" s="419"/>
      <c r="C103" s="420"/>
      <c r="D103" s="64" t="s">
        <v>165</v>
      </c>
      <c r="E103" s="76"/>
      <c r="F103" s="72"/>
      <c r="G103" s="72"/>
      <c r="H103" s="72"/>
      <c r="I103" s="176"/>
    </row>
    <row r="104" spans="1:9" x14ac:dyDescent="0.25">
      <c r="A104" s="424" t="s">
        <v>183</v>
      </c>
      <c r="B104" s="425"/>
      <c r="C104" s="426"/>
      <c r="D104" s="209" t="s">
        <v>104</v>
      </c>
      <c r="E104" s="339">
        <f>E105+E138</f>
        <v>784355.32417545945</v>
      </c>
      <c r="F104" s="340">
        <f>SUM(F105+F119+F138)</f>
        <v>786234.92</v>
      </c>
      <c r="G104" s="340">
        <f>SUM(G105+G119+G138)</f>
        <v>842000</v>
      </c>
      <c r="H104" s="341">
        <f t="shared" ref="H104:I104" si="35">SUM(H105+H119+H138)</f>
        <v>858840</v>
      </c>
      <c r="I104" s="342">
        <f t="shared" si="35"/>
        <v>875680</v>
      </c>
    </row>
    <row r="105" spans="1:9" x14ac:dyDescent="0.25">
      <c r="A105" s="171">
        <v>3</v>
      </c>
      <c r="B105" s="172"/>
      <c r="C105" s="173"/>
      <c r="D105" s="210" t="s">
        <v>10</v>
      </c>
      <c r="E105" s="344">
        <f>E106+E120+E132+E135</f>
        <v>782897.4172141481</v>
      </c>
      <c r="F105" s="343">
        <f t="shared" ref="F105:I105" si="36">SUM(F106)</f>
        <v>730130.33000000007</v>
      </c>
      <c r="G105" s="344">
        <f t="shared" si="36"/>
        <v>767000</v>
      </c>
      <c r="H105" s="345">
        <f t="shared" si="36"/>
        <v>782340</v>
      </c>
      <c r="I105" s="346">
        <f t="shared" si="36"/>
        <v>797680</v>
      </c>
    </row>
    <row r="106" spans="1:9" x14ac:dyDescent="0.25">
      <c r="A106" s="184">
        <v>31</v>
      </c>
      <c r="B106" s="178"/>
      <c r="C106" s="179"/>
      <c r="D106" s="154" t="s">
        <v>11</v>
      </c>
      <c r="E106" s="252">
        <f>SUM(E107+E112+E114)</f>
        <v>732602.87344880193</v>
      </c>
      <c r="F106" s="252">
        <f t="shared" ref="F106:G106" si="37">SUM(F107+F112+F114)</f>
        <v>730130.33000000007</v>
      </c>
      <c r="G106" s="253">
        <f t="shared" si="37"/>
        <v>767000</v>
      </c>
      <c r="H106" s="254">
        <f>G106*1.02</f>
        <v>782340</v>
      </c>
      <c r="I106" s="255">
        <f>G106*1.04</f>
        <v>797680</v>
      </c>
    </row>
    <row r="107" spans="1:9" x14ac:dyDescent="0.25">
      <c r="A107" s="175">
        <v>311</v>
      </c>
      <c r="B107" s="65"/>
      <c r="C107" s="66"/>
      <c r="D107" s="67" t="s">
        <v>184</v>
      </c>
      <c r="E107" s="78">
        <f>SUM(E108:E111)</f>
        <v>605301.01798394031</v>
      </c>
      <c r="F107" s="78">
        <f t="shared" ref="F107:G107" si="38">SUM(F108:F111)</f>
        <v>607723.4</v>
      </c>
      <c r="G107" s="78">
        <f t="shared" si="38"/>
        <v>637000</v>
      </c>
      <c r="H107" s="72"/>
      <c r="I107" s="176"/>
    </row>
    <row r="108" spans="1:9" x14ac:dyDescent="0.25">
      <c r="A108" s="175">
        <v>3111</v>
      </c>
      <c r="B108" s="65"/>
      <c r="C108" s="66"/>
      <c r="D108" s="67" t="s">
        <v>80</v>
      </c>
      <c r="E108" s="78">
        <f>4340623.64/7.5345</f>
        <v>576099.75977171666</v>
      </c>
      <c r="F108" s="80">
        <v>582592.87</v>
      </c>
      <c r="G108" s="80">
        <v>610000</v>
      </c>
      <c r="H108" s="72"/>
      <c r="I108" s="176"/>
    </row>
    <row r="109" spans="1:9" x14ac:dyDescent="0.25">
      <c r="A109" s="175">
        <v>3111</v>
      </c>
      <c r="B109" s="65"/>
      <c r="C109" s="66"/>
      <c r="D109" s="67" t="s">
        <v>185</v>
      </c>
      <c r="E109" s="78">
        <f>52759.12/7.5345</f>
        <v>7002.338575884266</v>
      </c>
      <c r="F109" s="80">
        <v>0</v>
      </c>
      <c r="G109" s="80"/>
      <c r="H109" s="72"/>
      <c r="I109" s="176"/>
    </row>
    <row r="110" spans="1:9" x14ac:dyDescent="0.25">
      <c r="A110" s="175">
        <v>3113</v>
      </c>
      <c r="B110" s="65"/>
      <c r="C110" s="66"/>
      <c r="D110" s="67" t="s">
        <v>81</v>
      </c>
      <c r="E110" s="78">
        <f>57028.69/7.5345</f>
        <v>7569.0078970071008</v>
      </c>
      <c r="F110" s="80">
        <v>9193.18</v>
      </c>
      <c r="G110" s="80">
        <v>10000</v>
      </c>
      <c r="H110" s="72"/>
      <c r="I110" s="176"/>
    </row>
    <row r="111" spans="1:9" x14ac:dyDescent="0.25">
      <c r="A111" s="175">
        <v>3114</v>
      </c>
      <c r="B111" s="65"/>
      <c r="C111" s="66"/>
      <c r="D111" s="67" t="s">
        <v>82</v>
      </c>
      <c r="E111" s="78">
        <f>110229.07/7.5345</f>
        <v>14629.911739332405</v>
      </c>
      <c r="F111" s="80">
        <v>15937.35</v>
      </c>
      <c r="G111" s="80">
        <v>17000</v>
      </c>
      <c r="H111" s="72"/>
      <c r="I111" s="176"/>
    </row>
    <row r="112" spans="1:9" x14ac:dyDescent="0.25">
      <c r="A112" s="175">
        <v>312</v>
      </c>
      <c r="B112" s="65"/>
      <c r="C112" s="66"/>
      <c r="D112" s="67" t="s">
        <v>83</v>
      </c>
      <c r="E112" s="78">
        <f>SUM(E113)</f>
        <v>27915.057402614639</v>
      </c>
      <c r="F112" s="78">
        <f t="shared" ref="F112:G112" si="39">SUM(F113)</f>
        <v>26279.119999999999</v>
      </c>
      <c r="G112" s="78">
        <f t="shared" si="39"/>
        <v>30000</v>
      </c>
      <c r="H112" s="72"/>
      <c r="I112" s="176"/>
    </row>
    <row r="113" spans="1:9" x14ac:dyDescent="0.25">
      <c r="A113" s="175">
        <v>3121</v>
      </c>
      <c r="B113" s="65"/>
      <c r="C113" s="66"/>
      <c r="D113" s="67" t="s">
        <v>83</v>
      </c>
      <c r="E113" s="78">
        <f>210326/7.5345</f>
        <v>27915.057402614639</v>
      </c>
      <c r="F113" s="80">
        <v>26279.119999999999</v>
      </c>
      <c r="G113" s="80">
        <v>30000</v>
      </c>
      <c r="H113" s="72"/>
      <c r="I113" s="176"/>
    </row>
    <row r="114" spans="1:9" x14ac:dyDescent="0.25">
      <c r="A114" s="175">
        <v>313</v>
      </c>
      <c r="B114" s="65"/>
      <c r="C114" s="66"/>
      <c r="D114" s="67" t="s">
        <v>84</v>
      </c>
      <c r="E114" s="78">
        <f>SUM(E115:E116)</f>
        <v>99386.798062246977</v>
      </c>
      <c r="F114" s="78">
        <f t="shared" ref="F114:G114" si="40">SUM(F115:F116)</f>
        <v>96127.81</v>
      </c>
      <c r="G114" s="78">
        <f t="shared" si="40"/>
        <v>100000</v>
      </c>
      <c r="H114" s="72"/>
      <c r="I114" s="176"/>
    </row>
    <row r="115" spans="1:9" x14ac:dyDescent="0.25">
      <c r="A115" s="175">
        <v>3132</v>
      </c>
      <c r="B115" s="65"/>
      <c r="C115" s="66"/>
      <c r="D115" s="67" t="s">
        <v>85</v>
      </c>
      <c r="E115" s="78">
        <f>747932.85/7.5345</f>
        <v>99267.748357555232</v>
      </c>
      <c r="F115" s="80">
        <v>96127.81</v>
      </c>
      <c r="G115" s="80">
        <v>100000</v>
      </c>
      <c r="H115" s="72"/>
      <c r="I115" s="176"/>
    </row>
    <row r="116" spans="1:9" ht="15.75" thickBot="1" x14ac:dyDescent="0.3">
      <c r="A116" s="200">
        <v>3133</v>
      </c>
      <c r="B116" s="201"/>
      <c r="C116" s="202"/>
      <c r="D116" s="213" t="s">
        <v>186</v>
      </c>
      <c r="E116" s="354">
        <f>896.98/7.5345</f>
        <v>119.04970469175127</v>
      </c>
      <c r="F116" s="328"/>
      <c r="G116" s="328"/>
      <c r="H116" s="328"/>
      <c r="I116" s="330"/>
    </row>
    <row r="117" spans="1:9" x14ac:dyDescent="0.25">
      <c r="A117" s="433" t="s">
        <v>160</v>
      </c>
      <c r="B117" s="434"/>
      <c r="C117" s="435"/>
      <c r="D117" s="151" t="s">
        <v>161</v>
      </c>
      <c r="E117" s="324"/>
      <c r="F117" s="325"/>
      <c r="G117" s="325"/>
      <c r="H117" s="325"/>
      <c r="I117" s="326"/>
    </row>
    <row r="118" spans="1:9" ht="25.5" x14ac:dyDescent="0.25">
      <c r="A118" s="418" t="s">
        <v>182</v>
      </c>
      <c r="B118" s="419"/>
      <c r="C118" s="420"/>
      <c r="D118" s="64" t="s">
        <v>165</v>
      </c>
      <c r="E118" s="76"/>
      <c r="F118" s="72"/>
      <c r="G118" s="72"/>
      <c r="H118" s="72"/>
      <c r="I118" s="176"/>
    </row>
    <row r="119" spans="1:9" x14ac:dyDescent="0.25">
      <c r="A119" s="171">
        <v>3</v>
      </c>
      <c r="B119" s="172"/>
      <c r="C119" s="173"/>
      <c r="D119" s="210" t="s">
        <v>10</v>
      </c>
      <c r="E119" s="344">
        <f>SUM(E120+E132+E135)</f>
        <v>50294.543765346069</v>
      </c>
      <c r="F119" s="343">
        <f>SUM(F120+F132+F135)</f>
        <v>44823.15</v>
      </c>
      <c r="G119" s="344">
        <f t="shared" ref="G119:I119" si="41">SUM(G120+G132+G135)</f>
        <v>63000</v>
      </c>
      <c r="H119" s="345">
        <f t="shared" si="41"/>
        <v>64260</v>
      </c>
      <c r="I119" s="346">
        <f t="shared" si="41"/>
        <v>65520</v>
      </c>
    </row>
    <row r="120" spans="1:9" x14ac:dyDescent="0.25">
      <c r="A120" s="184">
        <v>32</v>
      </c>
      <c r="B120" s="178"/>
      <c r="C120" s="179"/>
      <c r="D120" s="162" t="s">
        <v>22</v>
      </c>
      <c r="E120" s="252">
        <f>SUM(E121+E123+E126+E129)</f>
        <v>36986.068086800711</v>
      </c>
      <c r="F120" s="252">
        <f t="shared" ref="F120:G120" si="42">SUM(F121+F123+F126+F129)</f>
        <v>44823.15</v>
      </c>
      <c r="G120" s="253">
        <f t="shared" si="42"/>
        <v>63000</v>
      </c>
      <c r="H120" s="254">
        <f>G120*1.02</f>
        <v>64260</v>
      </c>
      <c r="I120" s="255">
        <f>G120*1.04</f>
        <v>65520</v>
      </c>
    </row>
    <row r="121" spans="1:9" x14ac:dyDescent="0.25">
      <c r="A121" s="175">
        <v>321</v>
      </c>
      <c r="B121" s="65"/>
      <c r="C121" s="66"/>
      <c r="D121" s="12" t="s">
        <v>87</v>
      </c>
      <c r="E121" s="78">
        <f>SUM(E122)</f>
        <v>30846.744973123627</v>
      </c>
      <c r="F121" s="78">
        <f t="shared" ref="F121:G121" si="43">SUM(F122)</f>
        <v>35038.82</v>
      </c>
      <c r="G121" s="78">
        <f t="shared" si="43"/>
        <v>23000</v>
      </c>
      <c r="H121" s="72"/>
      <c r="I121" s="176"/>
    </row>
    <row r="122" spans="1:9" x14ac:dyDescent="0.25">
      <c r="A122" s="175">
        <v>3212</v>
      </c>
      <c r="B122" s="65"/>
      <c r="C122" s="66"/>
      <c r="D122" s="12" t="s">
        <v>88</v>
      </c>
      <c r="E122" s="78">
        <f>232414.8/7.5345</f>
        <v>30846.744973123627</v>
      </c>
      <c r="F122" s="80">
        <v>35038.82</v>
      </c>
      <c r="G122" s="80">
        <v>23000</v>
      </c>
      <c r="H122" s="72"/>
      <c r="I122" s="176"/>
    </row>
    <row r="123" spans="1:9" x14ac:dyDescent="0.25">
      <c r="A123" s="175">
        <v>322</v>
      </c>
      <c r="B123" s="65"/>
      <c r="C123" s="66"/>
      <c r="D123" s="42" t="s">
        <v>170</v>
      </c>
      <c r="E123" s="78">
        <f>SUM(E124:E125)</f>
        <v>0</v>
      </c>
      <c r="F123" s="78">
        <f t="shared" ref="F123:G123" si="44">SUM(F124:F125)</f>
        <v>3902.05</v>
      </c>
      <c r="G123" s="78">
        <f t="shared" si="44"/>
        <v>39000</v>
      </c>
      <c r="H123" s="72"/>
      <c r="I123" s="176"/>
    </row>
    <row r="124" spans="1:9" ht="25.5" x14ac:dyDescent="0.25">
      <c r="A124" s="175">
        <v>3221</v>
      </c>
      <c r="B124" s="65"/>
      <c r="C124" s="66"/>
      <c r="D124" s="42" t="s">
        <v>171</v>
      </c>
      <c r="E124" s="76"/>
      <c r="F124" s="80"/>
      <c r="G124" s="80">
        <v>2000</v>
      </c>
      <c r="H124" s="72"/>
      <c r="I124" s="176"/>
    </row>
    <row r="125" spans="1:9" x14ac:dyDescent="0.25">
      <c r="A125" s="175">
        <v>3222</v>
      </c>
      <c r="B125" s="65"/>
      <c r="C125" s="66"/>
      <c r="D125" s="42" t="s">
        <v>94</v>
      </c>
      <c r="E125" s="78">
        <v>0</v>
      </c>
      <c r="F125" s="80">
        <v>3902.05</v>
      </c>
      <c r="G125" s="80">
        <v>37000</v>
      </c>
      <c r="H125" s="72"/>
      <c r="I125" s="176"/>
    </row>
    <row r="126" spans="1:9" x14ac:dyDescent="0.25">
      <c r="A126" s="175">
        <v>323</v>
      </c>
      <c r="B126" s="65"/>
      <c r="C126" s="66"/>
      <c r="D126" s="42" t="s">
        <v>98</v>
      </c>
      <c r="E126" s="78">
        <f>SUM(E127:E128)</f>
        <v>230.90450593934565</v>
      </c>
      <c r="F126" s="78">
        <f>F127+F128</f>
        <v>4156.88</v>
      </c>
      <c r="G126" s="78">
        <f>SUM(G127:G128)</f>
        <v>1000</v>
      </c>
      <c r="H126" s="72"/>
      <c r="I126" s="176"/>
    </row>
    <row r="127" spans="1:9" x14ac:dyDescent="0.25">
      <c r="A127" s="175">
        <v>3236</v>
      </c>
      <c r="B127" s="65"/>
      <c r="C127" s="66"/>
      <c r="D127" s="42" t="s">
        <v>187</v>
      </c>
      <c r="E127" s="78">
        <f>1739.75/7.5345</f>
        <v>230.90450593934565</v>
      </c>
      <c r="F127" s="80"/>
      <c r="G127" s="80"/>
      <c r="H127" s="72"/>
      <c r="I127" s="176"/>
    </row>
    <row r="128" spans="1:9" x14ac:dyDescent="0.25">
      <c r="A128" s="175">
        <v>3239</v>
      </c>
      <c r="B128" s="65"/>
      <c r="C128" s="66"/>
      <c r="D128" s="42" t="s">
        <v>101</v>
      </c>
      <c r="E128" s="76"/>
      <c r="F128" s="80">
        <v>4156.88</v>
      </c>
      <c r="G128" s="80">
        <v>1000</v>
      </c>
      <c r="H128" s="72"/>
      <c r="I128" s="176"/>
    </row>
    <row r="129" spans="1:9" x14ac:dyDescent="0.25">
      <c r="A129" s="175">
        <v>329</v>
      </c>
      <c r="B129" s="65"/>
      <c r="C129" s="66"/>
      <c r="D129" s="42" t="s">
        <v>166</v>
      </c>
      <c r="E129" s="78">
        <f>SUM(E130:E131)</f>
        <v>5908.4186077377399</v>
      </c>
      <c r="F129" s="78">
        <f t="shared" ref="F129:G129" si="45">SUM(F130:F131)</f>
        <v>1725.4</v>
      </c>
      <c r="G129" s="78">
        <f t="shared" si="45"/>
        <v>0</v>
      </c>
      <c r="H129" s="72"/>
      <c r="I129" s="176"/>
    </row>
    <row r="130" spans="1:9" x14ac:dyDescent="0.25">
      <c r="A130" s="175">
        <v>3295</v>
      </c>
      <c r="B130" s="65"/>
      <c r="C130" s="66"/>
      <c r="D130" s="42" t="s">
        <v>188</v>
      </c>
      <c r="E130" s="78">
        <f>17784/7.5345</f>
        <v>2360.3424248457095</v>
      </c>
      <c r="F130" s="80">
        <v>1725.4</v>
      </c>
      <c r="G130" s="80">
        <v>0</v>
      </c>
      <c r="H130" s="72"/>
      <c r="I130" s="176"/>
    </row>
    <row r="131" spans="1:9" x14ac:dyDescent="0.25">
      <c r="A131" s="175">
        <v>3296</v>
      </c>
      <c r="B131" s="65"/>
      <c r="C131" s="66"/>
      <c r="D131" s="42" t="s">
        <v>108</v>
      </c>
      <c r="E131" s="78">
        <f>26732.98/7.5345</f>
        <v>3548.0761828920299</v>
      </c>
      <c r="F131" s="80"/>
      <c r="G131" s="80"/>
      <c r="H131" s="72"/>
      <c r="I131" s="176"/>
    </row>
    <row r="132" spans="1:9" x14ac:dyDescent="0.25">
      <c r="A132" s="184">
        <v>34</v>
      </c>
      <c r="B132" s="211"/>
      <c r="C132" s="179"/>
      <c r="D132" s="212" t="s">
        <v>78</v>
      </c>
      <c r="E132" s="252">
        <f>SUM(E133)</f>
        <v>2754.3393722211158</v>
      </c>
      <c r="F132" s="252">
        <f t="shared" ref="F132:I133" si="46">SUM(F133)</f>
        <v>0</v>
      </c>
      <c r="G132" s="252">
        <f t="shared" si="46"/>
        <v>0</v>
      </c>
      <c r="H132" s="254">
        <f t="shared" si="46"/>
        <v>0</v>
      </c>
      <c r="I132" s="255">
        <f t="shared" si="46"/>
        <v>0</v>
      </c>
    </row>
    <row r="133" spans="1:9" x14ac:dyDescent="0.25">
      <c r="A133" s="175">
        <v>343</v>
      </c>
      <c r="B133" s="65"/>
      <c r="C133" s="66"/>
      <c r="D133" s="42" t="s">
        <v>189</v>
      </c>
      <c r="E133" s="78">
        <f>SUM(E134)</f>
        <v>2754.3393722211158</v>
      </c>
      <c r="F133" s="78">
        <f t="shared" si="46"/>
        <v>0</v>
      </c>
      <c r="G133" s="78">
        <f t="shared" si="46"/>
        <v>0</v>
      </c>
      <c r="H133" s="235"/>
      <c r="I133" s="236"/>
    </row>
    <row r="134" spans="1:9" x14ac:dyDescent="0.25">
      <c r="A134" s="175">
        <v>3433</v>
      </c>
      <c r="B134" s="65"/>
      <c r="C134" s="66"/>
      <c r="D134" s="42" t="s">
        <v>110</v>
      </c>
      <c r="E134" s="78">
        <f>20752.57/7.5345</f>
        <v>2754.3393722211158</v>
      </c>
      <c r="F134" s="80"/>
      <c r="G134" s="80"/>
      <c r="H134" s="235"/>
      <c r="I134" s="236"/>
    </row>
    <row r="135" spans="1:9" x14ac:dyDescent="0.25">
      <c r="A135" s="184">
        <v>37</v>
      </c>
      <c r="B135" s="185"/>
      <c r="C135" s="186"/>
      <c r="D135" s="154" t="s">
        <v>190</v>
      </c>
      <c r="E135" s="252">
        <f>SUM(E136)</f>
        <v>10554.136306324241</v>
      </c>
      <c r="F135" s="252">
        <f t="shared" ref="F135:I136" si="47">SUM(F136)</f>
        <v>0</v>
      </c>
      <c r="G135" s="252">
        <f t="shared" si="47"/>
        <v>0</v>
      </c>
      <c r="H135" s="254">
        <f t="shared" si="47"/>
        <v>0</v>
      </c>
      <c r="I135" s="255">
        <f t="shared" si="47"/>
        <v>0</v>
      </c>
    </row>
    <row r="136" spans="1:9" x14ac:dyDescent="0.25">
      <c r="A136" s="155">
        <v>372</v>
      </c>
      <c r="B136" s="68"/>
      <c r="C136" s="69"/>
      <c r="D136" s="67" t="s">
        <v>191</v>
      </c>
      <c r="E136" s="78">
        <f>SUM(E137)</f>
        <v>10554.136306324241</v>
      </c>
      <c r="F136" s="78">
        <f t="shared" si="47"/>
        <v>0</v>
      </c>
      <c r="G136" s="78">
        <f t="shared" si="47"/>
        <v>0</v>
      </c>
      <c r="H136" s="72"/>
      <c r="I136" s="92"/>
    </row>
    <row r="137" spans="1:9" x14ac:dyDescent="0.25">
      <c r="A137" s="155">
        <v>3722</v>
      </c>
      <c r="B137" s="68"/>
      <c r="C137" s="69"/>
      <c r="D137" s="67" t="s">
        <v>190</v>
      </c>
      <c r="E137" s="78">
        <f>79520.14/7.5345</f>
        <v>10554.136306324241</v>
      </c>
      <c r="F137" s="72"/>
      <c r="G137" s="80"/>
      <c r="H137" s="72"/>
      <c r="I137" s="92"/>
    </row>
    <row r="138" spans="1:9" x14ac:dyDescent="0.25">
      <c r="A138" s="180">
        <v>4</v>
      </c>
      <c r="B138" s="181"/>
      <c r="C138" s="182"/>
      <c r="D138" s="183" t="s">
        <v>174</v>
      </c>
      <c r="E138" s="347">
        <f>SUM(E139)</f>
        <v>1457.9069613113013</v>
      </c>
      <c r="F138" s="347">
        <f t="shared" ref="F138:I140" si="48">SUM(F139)</f>
        <v>11281.44</v>
      </c>
      <c r="G138" s="359">
        <f t="shared" si="48"/>
        <v>12000</v>
      </c>
      <c r="H138" s="348">
        <f t="shared" si="48"/>
        <v>12240</v>
      </c>
      <c r="I138" s="349">
        <f t="shared" si="48"/>
        <v>12480</v>
      </c>
    </row>
    <row r="139" spans="1:9" x14ac:dyDescent="0.25">
      <c r="A139" s="184">
        <v>42</v>
      </c>
      <c r="B139" s="185"/>
      <c r="C139" s="186"/>
      <c r="D139" s="154" t="s">
        <v>175</v>
      </c>
      <c r="E139" s="252">
        <f>SUM(E140)</f>
        <v>1457.9069613113013</v>
      </c>
      <c r="F139" s="252">
        <f t="shared" si="48"/>
        <v>11281.44</v>
      </c>
      <c r="G139" s="252">
        <f t="shared" si="48"/>
        <v>12000</v>
      </c>
      <c r="H139" s="254">
        <f>G139*1.02</f>
        <v>12240</v>
      </c>
      <c r="I139" s="255">
        <f>G139*1.04</f>
        <v>12480</v>
      </c>
    </row>
    <row r="140" spans="1:9" x14ac:dyDescent="0.25">
      <c r="A140" s="155">
        <v>424</v>
      </c>
      <c r="B140" s="68"/>
      <c r="C140" s="69"/>
      <c r="D140" s="67" t="s">
        <v>192</v>
      </c>
      <c r="E140" s="78">
        <f>SUM(E141)</f>
        <v>1457.9069613113013</v>
      </c>
      <c r="F140" s="78">
        <f t="shared" si="48"/>
        <v>11281.44</v>
      </c>
      <c r="G140" s="78">
        <f t="shared" si="48"/>
        <v>12000</v>
      </c>
      <c r="H140" s="235"/>
      <c r="I140" s="237"/>
    </row>
    <row r="141" spans="1:9" ht="15.75" thickBot="1" x14ac:dyDescent="0.3">
      <c r="A141" s="156">
        <v>4241</v>
      </c>
      <c r="B141" s="157"/>
      <c r="C141" s="158"/>
      <c r="D141" s="187" t="s">
        <v>192</v>
      </c>
      <c r="E141" s="320">
        <f>10984.6/7.5345</f>
        <v>1457.9069613113013</v>
      </c>
      <c r="F141" s="321">
        <v>11281.44</v>
      </c>
      <c r="G141" s="321">
        <v>12000</v>
      </c>
      <c r="H141" s="322"/>
      <c r="I141" s="350"/>
    </row>
    <row r="142" spans="1:9" ht="15.75" thickBot="1" x14ac:dyDescent="0.3">
      <c r="A142" s="227"/>
      <c r="B142" s="229"/>
      <c r="C142" s="229"/>
      <c r="D142" s="228"/>
      <c r="E142" s="333"/>
      <c r="F142" s="333"/>
      <c r="G142" s="334"/>
      <c r="H142" s="334"/>
      <c r="I142" s="351"/>
    </row>
    <row r="143" spans="1:9" x14ac:dyDescent="0.25">
      <c r="A143" s="427" t="s">
        <v>160</v>
      </c>
      <c r="B143" s="428"/>
      <c r="C143" s="429"/>
      <c r="D143" s="226" t="s">
        <v>161</v>
      </c>
      <c r="E143" s="336"/>
      <c r="F143" s="337"/>
      <c r="G143" s="337"/>
      <c r="H143" s="337"/>
      <c r="I143" s="360"/>
    </row>
    <row r="144" spans="1:9" x14ac:dyDescent="0.25">
      <c r="A144" s="418" t="s">
        <v>193</v>
      </c>
      <c r="B144" s="419"/>
      <c r="C144" s="420"/>
      <c r="D144" s="67" t="s">
        <v>163</v>
      </c>
      <c r="E144" s="76"/>
      <c r="F144" s="72"/>
      <c r="G144" s="72"/>
      <c r="H144" s="72"/>
      <c r="I144" s="92"/>
    </row>
    <row r="145" spans="1:11" ht="25.5" x14ac:dyDescent="0.25">
      <c r="A145" s="430" t="s">
        <v>194</v>
      </c>
      <c r="B145" s="431"/>
      <c r="C145" s="432"/>
      <c r="D145" s="214" t="s">
        <v>195</v>
      </c>
      <c r="E145" s="361">
        <f>SUM(E146+E161+E180)</f>
        <v>61069.037633552325</v>
      </c>
      <c r="F145" s="382">
        <f>SUM(F146+F161+F180)</f>
        <v>44879.039999999994</v>
      </c>
      <c r="G145" s="362">
        <f>SUM(G146+G161+G180)</f>
        <v>25650</v>
      </c>
      <c r="H145" s="363">
        <f>SUM(H146+H161+H180)</f>
        <v>26163</v>
      </c>
      <c r="I145" s="364">
        <f>SUM(I146+I161+I180)</f>
        <v>26676</v>
      </c>
      <c r="K145" s="247"/>
    </row>
    <row r="146" spans="1:11" x14ac:dyDescent="0.25">
      <c r="A146" s="189">
        <v>3</v>
      </c>
      <c r="B146" s="215"/>
      <c r="C146" s="216"/>
      <c r="D146" s="217" t="s">
        <v>10</v>
      </c>
      <c r="E146" s="318">
        <f>SUM(E147)</f>
        <v>3769.9887185612847</v>
      </c>
      <c r="F146" s="317">
        <f t="shared" ref="F146:H146" si="49">SUM(F147)</f>
        <v>9096.81</v>
      </c>
      <c r="G146" s="318">
        <f t="shared" si="49"/>
        <v>10000</v>
      </c>
      <c r="H146" s="316">
        <f t="shared" si="49"/>
        <v>10200</v>
      </c>
      <c r="I146" s="319">
        <f>SUM(I147)</f>
        <v>10400</v>
      </c>
    </row>
    <row r="147" spans="1:11" x14ac:dyDescent="0.25">
      <c r="A147" s="184">
        <v>31</v>
      </c>
      <c r="B147" s="185"/>
      <c r="C147" s="186"/>
      <c r="D147" s="154" t="s">
        <v>22</v>
      </c>
      <c r="E147" s="252">
        <f>SUM(E148+E153+E155)</f>
        <v>3769.9887185612847</v>
      </c>
      <c r="F147" s="252">
        <f t="shared" ref="F147:G147" si="50">SUM(F148+F153+F155)</f>
        <v>9096.81</v>
      </c>
      <c r="G147" s="253">
        <f t="shared" si="50"/>
        <v>10000</v>
      </c>
      <c r="H147" s="254">
        <f>G147*1.02</f>
        <v>10200</v>
      </c>
      <c r="I147" s="255">
        <f>G147*1.04</f>
        <v>10400</v>
      </c>
    </row>
    <row r="148" spans="1:11" x14ac:dyDescent="0.25">
      <c r="A148" s="175">
        <v>311</v>
      </c>
      <c r="B148" s="65"/>
      <c r="C148" s="66"/>
      <c r="D148" s="67" t="s">
        <v>196</v>
      </c>
      <c r="E148" s="78">
        <f>SUM(E149:E152)</f>
        <v>3104.3639259406727</v>
      </c>
      <c r="F148" s="78">
        <f t="shared" ref="F148:G148" si="51">SUM(F149:F152)</f>
        <v>7466.71</v>
      </c>
      <c r="G148" s="78">
        <f t="shared" si="51"/>
        <v>7800</v>
      </c>
      <c r="H148" s="72"/>
      <c r="I148" s="176"/>
    </row>
    <row r="149" spans="1:11" x14ac:dyDescent="0.25">
      <c r="A149" s="175">
        <v>3111</v>
      </c>
      <c r="B149" s="65"/>
      <c r="C149" s="66"/>
      <c r="D149" s="67" t="s">
        <v>197</v>
      </c>
      <c r="E149" s="78">
        <f>23389.83/7.5345</f>
        <v>3104.3639259406727</v>
      </c>
      <c r="F149" s="80">
        <v>6935.82</v>
      </c>
      <c r="G149" s="80">
        <v>7200</v>
      </c>
      <c r="H149" s="72"/>
      <c r="I149" s="176"/>
    </row>
    <row r="150" spans="1:11" x14ac:dyDescent="0.25">
      <c r="A150" s="175">
        <v>3111</v>
      </c>
      <c r="B150" s="65"/>
      <c r="C150" s="66"/>
      <c r="D150" s="67" t="s">
        <v>185</v>
      </c>
      <c r="E150" s="76"/>
      <c r="F150" s="80"/>
      <c r="G150" s="80"/>
      <c r="H150" s="72"/>
      <c r="I150" s="176"/>
    </row>
    <row r="151" spans="1:11" x14ac:dyDescent="0.25">
      <c r="A151" s="175">
        <v>3113</v>
      </c>
      <c r="B151" s="65"/>
      <c r="C151" s="66"/>
      <c r="D151" s="67" t="s">
        <v>81</v>
      </c>
      <c r="E151" s="76"/>
      <c r="F151" s="80"/>
      <c r="G151" s="80"/>
      <c r="H151" s="72"/>
      <c r="I151" s="176"/>
    </row>
    <row r="152" spans="1:11" x14ac:dyDescent="0.25">
      <c r="A152" s="175">
        <v>3114</v>
      </c>
      <c r="B152" s="65"/>
      <c r="C152" s="66"/>
      <c r="D152" s="67" t="s">
        <v>82</v>
      </c>
      <c r="E152" s="76"/>
      <c r="F152" s="80">
        <v>530.89</v>
      </c>
      <c r="G152" s="80">
        <v>600</v>
      </c>
      <c r="H152" s="72"/>
      <c r="I152" s="176"/>
    </row>
    <row r="153" spans="1:11" x14ac:dyDescent="0.25">
      <c r="A153" s="175">
        <v>312</v>
      </c>
      <c r="B153" s="65"/>
      <c r="C153" s="66"/>
      <c r="D153" s="67" t="s">
        <v>83</v>
      </c>
      <c r="E153" s="78">
        <f>SUM(E154)</f>
        <v>166.13312097683988</v>
      </c>
      <c r="F153" s="78">
        <f t="shared" ref="F153:G153" si="52">SUM(F154)</f>
        <v>398.17</v>
      </c>
      <c r="G153" s="78">
        <f t="shared" si="52"/>
        <v>700</v>
      </c>
      <c r="H153" s="72"/>
      <c r="I153" s="176"/>
    </row>
    <row r="154" spans="1:11" x14ac:dyDescent="0.25">
      <c r="A154" s="175">
        <v>3121</v>
      </c>
      <c r="B154" s="65"/>
      <c r="C154" s="66"/>
      <c r="D154" s="67" t="s">
        <v>83</v>
      </c>
      <c r="E154" s="78">
        <f>1251.73/7.5345</f>
        <v>166.13312097683988</v>
      </c>
      <c r="F154" s="80">
        <v>398.17</v>
      </c>
      <c r="G154" s="80">
        <v>700</v>
      </c>
      <c r="H154" s="72"/>
      <c r="I154" s="176"/>
    </row>
    <row r="155" spans="1:11" x14ac:dyDescent="0.25">
      <c r="A155" s="175">
        <v>313</v>
      </c>
      <c r="B155" s="65"/>
      <c r="C155" s="66"/>
      <c r="D155" s="67" t="s">
        <v>84</v>
      </c>
      <c r="E155" s="78">
        <f>SUM(E156:E157)</f>
        <v>499.49167164377195</v>
      </c>
      <c r="F155" s="78">
        <f t="shared" ref="F155:G155" si="53">SUM(F156:F157)</f>
        <v>1231.93</v>
      </c>
      <c r="G155" s="78">
        <f t="shared" si="53"/>
        <v>1500</v>
      </c>
      <c r="H155" s="72"/>
      <c r="I155" s="176"/>
    </row>
    <row r="156" spans="1:11" x14ac:dyDescent="0.25">
      <c r="A156" s="175">
        <v>3132</v>
      </c>
      <c r="B156" s="65"/>
      <c r="C156" s="66"/>
      <c r="D156" s="67" t="s">
        <v>85</v>
      </c>
      <c r="E156" s="78">
        <f>3763.42/7.5345</f>
        <v>499.49167164377195</v>
      </c>
      <c r="F156" s="80">
        <v>1231.93</v>
      </c>
      <c r="G156" s="80">
        <v>1500</v>
      </c>
      <c r="H156" s="72"/>
      <c r="I156" s="176"/>
    </row>
    <row r="157" spans="1:11" ht="15.75" thickBot="1" x14ac:dyDescent="0.3">
      <c r="A157" s="200">
        <v>3133</v>
      </c>
      <c r="B157" s="201"/>
      <c r="C157" s="202"/>
      <c r="D157" s="213" t="s">
        <v>186</v>
      </c>
      <c r="E157" s="365"/>
      <c r="F157" s="328"/>
      <c r="G157" s="328"/>
      <c r="H157" s="328"/>
      <c r="I157" s="330"/>
    </row>
    <row r="158" spans="1:11" x14ac:dyDescent="0.25">
      <c r="A158" s="433" t="s">
        <v>160</v>
      </c>
      <c r="B158" s="434"/>
      <c r="C158" s="435"/>
      <c r="D158" s="151" t="s">
        <v>161</v>
      </c>
      <c r="E158" s="324"/>
      <c r="F158" s="325"/>
      <c r="G158" s="325"/>
      <c r="H158" s="325"/>
      <c r="I158" s="326"/>
    </row>
    <row r="159" spans="1:11" ht="25.5" x14ac:dyDescent="0.25">
      <c r="A159" s="418" t="s">
        <v>193</v>
      </c>
      <c r="B159" s="419"/>
      <c r="C159" s="420"/>
      <c r="D159" s="64" t="s">
        <v>198</v>
      </c>
      <c r="E159" s="76"/>
      <c r="F159" s="72"/>
      <c r="G159" s="72"/>
      <c r="H159" s="72"/>
      <c r="I159" s="176"/>
    </row>
    <row r="160" spans="1:11" ht="25.5" x14ac:dyDescent="0.25">
      <c r="A160" s="421" t="s">
        <v>194</v>
      </c>
      <c r="B160" s="422"/>
      <c r="C160" s="423"/>
      <c r="D160" s="183" t="s">
        <v>195</v>
      </c>
      <c r="E160" s="347">
        <f>SUM(E161+E180)</f>
        <v>57299.048914991043</v>
      </c>
      <c r="F160" s="347">
        <f>SUM(F161+F180)</f>
        <v>35782.229999999996</v>
      </c>
      <c r="G160" s="359">
        <f>SUM(G161+G180)</f>
        <v>15650</v>
      </c>
      <c r="H160" s="348">
        <f t="shared" ref="H160:I160" si="54">SUM(H161+H180)</f>
        <v>15963</v>
      </c>
      <c r="I160" s="349">
        <f t="shared" si="54"/>
        <v>16276</v>
      </c>
    </row>
    <row r="161" spans="1:9" x14ac:dyDescent="0.25">
      <c r="A161" s="189">
        <v>3</v>
      </c>
      <c r="B161" s="190"/>
      <c r="C161" s="191"/>
      <c r="D161" s="217" t="s">
        <v>10</v>
      </c>
      <c r="E161" s="318">
        <f>SUM(E162)</f>
        <v>56897.154960514963</v>
      </c>
      <c r="F161" s="317">
        <f t="shared" ref="F161:I161" si="55">SUM(F162)</f>
        <v>35118.619999999995</v>
      </c>
      <c r="G161" s="318">
        <f t="shared" si="55"/>
        <v>15000</v>
      </c>
      <c r="H161" s="316">
        <f t="shared" si="55"/>
        <v>15300</v>
      </c>
      <c r="I161" s="319">
        <f t="shared" si="55"/>
        <v>15600</v>
      </c>
    </row>
    <row r="162" spans="1:9" x14ac:dyDescent="0.25">
      <c r="A162" s="184">
        <v>32</v>
      </c>
      <c r="B162" s="178"/>
      <c r="C162" s="179"/>
      <c r="D162" s="154" t="s">
        <v>22</v>
      </c>
      <c r="E162" s="252">
        <f>SUM(E163+E165+E170+E175)</f>
        <v>56897.154960514963</v>
      </c>
      <c r="F162" s="252">
        <f>SUM(F163+F165+F170+F175+F179)</f>
        <v>35118.619999999995</v>
      </c>
      <c r="G162" s="253">
        <f>SUM(G163+G165+G170+G175+G179)</f>
        <v>15000</v>
      </c>
      <c r="H162" s="254">
        <f>G162*1.02</f>
        <v>15300</v>
      </c>
      <c r="I162" s="255">
        <f>G162*1.04</f>
        <v>15600</v>
      </c>
    </row>
    <row r="163" spans="1:9" x14ac:dyDescent="0.25">
      <c r="A163" s="175">
        <v>321</v>
      </c>
      <c r="B163" s="65"/>
      <c r="C163" s="66"/>
      <c r="D163" s="12" t="s">
        <v>87</v>
      </c>
      <c r="E163" s="78">
        <f>SUM(E164)</f>
        <v>132.67237374742848</v>
      </c>
      <c r="F163" s="78">
        <f t="shared" ref="F163:G163" si="56">SUM(F164)</f>
        <v>477.8</v>
      </c>
      <c r="G163" s="78">
        <f t="shared" si="56"/>
        <v>1000</v>
      </c>
      <c r="H163" s="72"/>
      <c r="I163" s="176"/>
    </row>
    <row r="164" spans="1:9" x14ac:dyDescent="0.25">
      <c r="A164" s="175">
        <v>3212</v>
      </c>
      <c r="B164" s="65"/>
      <c r="C164" s="66"/>
      <c r="D164" s="12" t="s">
        <v>199</v>
      </c>
      <c r="E164" s="78">
        <f>999.62/7.5345</f>
        <v>132.67237374742848</v>
      </c>
      <c r="F164" s="80">
        <v>477.8</v>
      </c>
      <c r="G164" s="80">
        <v>1000</v>
      </c>
      <c r="H164" s="72"/>
      <c r="I164" s="176"/>
    </row>
    <row r="165" spans="1:9" x14ac:dyDescent="0.25">
      <c r="A165" s="175">
        <v>322</v>
      </c>
      <c r="B165" s="65"/>
      <c r="C165" s="66"/>
      <c r="D165" s="42" t="s">
        <v>170</v>
      </c>
      <c r="E165" s="78">
        <f>SUM(E166:E169)</f>
        <v>32010.973189992699</v>
      </c>
      <c r="F165" s="78">
        <f>SUM(F166:F169)</f>
        <v>28880.489999999998</v>
      </c>
      <c r="G165" s="78">
        <f>G166+G167+G168+G169</f>
        <v>5000</v>
      </c>
      <c r="H165" s="72"/>
      <c r="I165" s="176"/>
    </row>
    <row r="166" spans="1:9" ht="25.5" x14ac:dyDescent="0.25">
      <c r="A166" s="175">
        <v>3221</v>
      </c>
      <c r="B166" s="65"/>
      <c r="C166" s="66"/>
      <c r="D166" s="42" t="s">
        <v>171</v>
      </c>
      <c r="E166" s="78">
        <f>34536.88/7.5345</f>
        <v>4583.8317074789293</v>
      </c>
      <c r="F166" s="80">
        <v>5388.55</v>
      </c>
      <c r="G166" s="80">
        <v>0</v>
      </c>
      <c r="H166" s="72"/>
      <c r="I166" s="176"/>
    </row>
    <row r="167" spans="1:9" x14ac:dyDescent="0.25">
      <c r="A167" s="175">
        <v>3222</v>
      </c>
      <c r="B167" s="65"/>
      <c r="C167" s="66"/>
      <c r="D167" s="42" t="s">
        <v>94</v>
      </c>
      <c r="E167" s="78">
        <f>(188152.6/7.5345)+2455</f>
        <v>27427.141482513769</v>
      </c>
      <c r="F167" s="80">
        <v>23491.94</v>
      </c>
      <c r="G167" s="80">
        <v>5000</v>
      </c>
      <c r="H167" s="72"/>
      <c r="I167" s="176"/>
    </row>
    <row r="168" spans="1:9" x14ac:dyDescent="0.25">
      <c r="A168" s="175">
        <v>3225</v>
      </c>
      <c r="B168" s="65"/>
      <c r="C168" s="66"/>
      <c r="D168" s="42" t="s">
        <v>96</v>
      </c>
      <c r="E168" s="78">
        <v>0</v>
      </c>
      <c r="F168" s="80">
        <v>0</v>
      </c>
      <c r="G168" s="80"/>
      <c r="H168" s="72"/>
      <c r="I168" s="176"/>
    </row>
    <row r="169" spans="1:9" ht="25.5" x14ac:dyDescent="0.25">
      <c r="A169" s="175">
        <v>3227</v>
      </c>
      <c r="B169" s="65"/>
      <c r="C169" s="66"/>
      <c r="D169" s="42" t="s">
        <v>200</v>
      </c>
      <c r="E169" s="78">
        <v>0</v>
      </c>
      <c r="F169" s="80"/>
      <c r="G169" s="80"/>
      <c r="H169" s="72"/>
      <c r="I169" s="176"/>
    </row>
    <row r="170" spans="1:9" x14ac:dyDescent="0.25">
      <c r="A170" s="175">
        <v>323</v>
      </c>
      <c r="B170" s="65"/>
      <c r="C170" s="66"/>
      <c r="D170" s="42" t="s">
        <v>98</v>
      </c>
      <c r="E170" s="78">
        <f>SUM(E171:E174)</f>
        <v>13910.45411772513</v>
      </c>
      <c r="F170" s="78">
        <f t="shared" ref="F170:G170" si="57">SUM(F172:F174)</f>
        <v>3105.72</v>
      </c>
      <c r="G170" s="78">
        <f t="shared" si="57"/>
        <v>2000</v>
      </c>
      <c r="H170" s="72"/>
      <c r="I170" s="176"/>
    </row>
    <row r="171" spans="1:9" x14ac:dyDescent="0.25">
      <c r="A171" s="175">
        <v>3231</v>
      </c>
      <c r="B171" s="65"/>
      <c r="C171" s="66"/>
      <c r="D171" s="42" t="s">
        <v>201</v>
      </c>
      <c r="E171" s="78">
        <f>600/7.5345</f>
        <v>79.633685048775632</v>
      </c>
      <c r="F171" s="78"/>
      <c r="G171" s="78"/>
      <c r="H171" s="72"/>
      <c r="I171" s="176"/>
    </row>
    <row r="172" spans="1:9" x14ac:dyDescent="0.25">
      <c r="A172" s="175">
        <v>3232</v>
      </c>
      <c r="B172" s="65"/>
      <c r="C172" s="66"/>
      <c r="D172" s="42" t="s">
        <v>202</v>
      </c>
      <c r="E172" s="78">
        <f>(4775/7.5345)+9290.59</f>
        <v>9924.3414101798389</v>
      </c>
      <c r="F172" s="80"/>
      <c r="G172" s="80"/>
      <c r="H172" s="72"/>
      <c r="I172" s="176"/>
    </row>
    <row r="173" spans="1:9" x14ac:dyDescent="0.25">
      <c r="A173" s="175">
        <v>3236</v>
      </c>
      <c r="B173" s="65"/>
      <c r="C173" s="66"/>
      <c r="D173" s="42" t="s">
        <v>187</v>
      </c>
      <c r="E173" s="78">
        <f>5785.4/7.5345</f>
        <v>767.85453580197748</v>
      </c>
      <c r="F173" s="80">
        <v>0</v>
      </c>
      <c r="G173" s="80"/>
      <c r="H173" s="72"/>
      <c r="I173" s="176"/>
    </row>
    <row r="174" spans="1:9" x14ac:dyDescent="0.25">
      <c r="A174" s="175">
        <v>3239</v>
      </c>
      <c r="B174" s="65"/>
      <c r="C174" s="66"/>
      <c r="D174" s="42" t="s">
        <v>101</v>
      </c>
      <c r="E174" s="78">
        <f>(11824/7.5345)+1569.31</f>
        <v>3138.6244866945381</v>
      </c>
      <c r="F174" s="80">
        <v>3105.72</v>
      </c>
      <c r="G174" s="80">
        <v>2000</v>
      </c>
      <c r="H174" s="72"/>
      <c r="I174" s="176"/>
    </row>
    <row r="175" spans="1:9" x14ac:dyDescent="0.25">
      <c r="A175" s="175">
        <v>329</v>
      </c>
      <c r="B175" s="65"/>
      <c r="C175" s="66"/>
      <c r="D175" s="42" t="s">
        <v>166</v>
      </c>
      <c r="E175" s="78">
        <f>SUM(E176:E178)</f>
        <v>10843.055279049702</v>
      </c>
      <c r="F175" s="78">
        <f t="shared" ref="F175:G175" si="58">SUM(F176:F178)</f>
        <v>663.61</v>
      </c>
      <c r="G175" s="78">
        <f t="shared" si="58"/>
        <v>7000</v>
      </c>
      <c r="H175" s="72"/>
      <c r="I175" s="176"/>
    </row>
    <row r="176" spans="1:9" x14ac:dyDescent="0.25">
      <c r="A176" s="175">
        <v>3291</v>
      </c>
      <c r="B176" s="65"/>
      <c r="C176" s="66"/>
      <c r="D176" s="42" t="s">
        <v>203</v>
      </c>
      <c r="E176" s="78">
        <f>1500/7.5345</f>
        <v>199.08421262193906</v>
      </c>
      <c r="F176" s="80"/>
      <c r="G176" s="80"/>
      <c r="H176" s="72"/>
      <c r="I176" s="176"/>
    </row>
    <row r="177" spans="1:9" x14ac:dyDescent="0.25">
      <c r="A177" s="175">
        <v>3292</v>
      </c>
      <c r="B177" s="65"/>
      <c r="C177" s="66"/>
      <c r="D177" s="42" t="s">
        <v>204</v>
      </c>
      <c r="E177" s="78">
        <f>6630/7.5345</f>
        <v>879.95221978897064</v>
      </c>
      <c r="F177" s="80"/>
      <c r="G177" s="80"/>
      <c r="H177" s="72"/>
      <c r="I177" s="176"/>
    </row>
    <row r="178" spans="1:9" x14ac:dyDescent="0.25">
      <c r="A178" s="175">
        <v>3299</v>
      </c>
      <c r="B178" s="65"/>
      <c r="C178" s="66"/>
      <c r="D178" s="42" t="s">
        <v>166</v>
      </c>
      <c r="E178" s="78">
        <f>73567/7.5345</f>
        <v>9764.0188466387935</v>
      </c>
      <c r="F178" s="80">
        <v>663.61</v>
      </c>
      <c r="G178" s="80">
        <v>7000</v>
      </c>
      <c r="H178" s="72"/>
      <c r="I178" s="176"/>
    </row>
    <row r="179" spans="1:9" x14ac:dyDescent="0.25">
      <c r="A179" s="180">
        <v>93</v>
      </c>
      <c r="B179" s="218"/>
      <c r="C179" s="219"/>
      <c r="D179" s="183" t="s">
        <v>205</v>
      </c>
      <c r="E179" s="348">
        <v>0</v>
      </c>
      <c r="F179" s="348">
        <v>1991</v>
      </c>
      <c r="G179" s="347">
        <v>0</v>
      </c>
      <c r="H179" s="348">
        <v>0</v>
      </c>
      <c r="I179" s="349">
        <v>0</v>
      </c>
    </row>
    <row r="180" spans="1:9" x14ac:dyDescent="0.25">
      <c r="A180" s="180">
        <v>4</v>
      </c>
      <c r="B180" s="218"/>
      <c r="C180" s="219"/>
      <c r="D180" s="183" t="s">
        <v>206</v>
      </c>
      <c r="E180" s="347">
        <f>SUM(E181)</f>
        <v>401.89395447607671</v>
      </c>
      <c r="F180" s="347">
        <f t="shared" ref="F180:I180" si="59">SUM(F181)</f>
        <v>663.61</v>
      </c>
      <c r="G180" s="359">
        <f t="shared" si="59"/>
        <v>650</v>
      </c>
      <c r="H180" s="348">
        <f t="shared" si="59"/>
        <v>663</v>
      </c>
      <c r="I180" s="349">
        <f t="shared" si="59"/>
        <v>676</v>
      </c>
    </row>
    <row r="181" spans="1:9" x14ac:dyDescent="0.25">
      <c r="A181" s="184">
        <v>42</v>
      </c>
      <c r="B181" s="185"/>
      <c r="C181" s="186"/>
      <c r="D181" s="154" t="s">
        <v>175</v>
      </c>
      <c r="E181" s="252">
        <f>SUM(E182+E185)</f>
        <v>401.89395447607671</v>
      </c>
      <c r="F181" s="252">
        <f t="shared" ref="F181:G181" si="60">SUM(F182+F185)</f>
        <v>663.61</v>
      </c>
      <c r="G181" s="253">
        <f t="shared" si="60"/>
        <v>650</v>
      </c>
      <c r="H181" s="254">
        <f>G181*1.02</f>
        <v>663</v>
      </c>
      <c r="I181" s="255">
        <f>G181*1.04</f>
        <v>676</v>
      </c>
    </row>
    <row r="182" spans="1:9" x14ac:dyDescent="0.25">
      <c r="A182" s="175">
        <v>422</v>
      </c>
      <c r="B182" s="68"/>
      <c r="C182" s="69"/>
      <c r="D182" s="67" t="s">
        <v>119</v>
      </c>
      <c r="E182" s="78">
        <f>SUM(E183:E184)</f>
        <v>0</v>
      </c>
      <c r="F182" s="78">
        <f t="shared" ref="F182:G182" si="61">SUM(F183:F184)</f>
        <v>0</v>
      </c>
      <c r="G182" s="78">
        <f t="shared" si="61"/>
        <v>0</v>
      </c>
      <c r="H182" s="72"/>
      <c r="I182" s="92"/>
    </row>
    <row r="183" spans="1:9" x14ac:dyDescent="0.25">
      <c r="A183" s="175">
        <v>4221</v>
      </c>
      <c r="B183" s="68"/>
      <c r="C183" s="69"/>
      <c r="D183" s="67" t="s">
        <v>120</v>
      </c>
      <c r="E183" s="78">
        <v>0</v>
      </c>
      <c r="F183" s="80"/>
      <c r="G183" s="80"/>
      <c r="H183" s="72"/>
      <c r="I183" s="92"/>
    </row>
    <row r="184" spans="1:9" x14ac:dyDescent="0.25">
      <c r="A184" s="175">
        <v>4222</v>
      </c>
      <c r="B184" s="68"/>
      <c r="C184" s="69"/>
      <c r="D184" s="67" t="s">
        <v>121</v>
      </c>
      <c r="E184" s="78">
        <v>0</v>
      </c>
      <c r="F184" s="80"/>
      <c r="G184" s="80"/>
      <c r="H184" s="72"/>
      <c r="I184" s="92"/>
    </row>
    <row r="185" spans="1:9" x14ac:dyDescent="0.25">
      <c r="A185" s="155">
        <v>424</v>
      </c>
      <c r="B185" s="68"/>
      <c r="C185" s="69"/>
      <c r="D185" s="67" t="s">
        <v>192</v>
      </c>
      <c r="E185" s="78">
        <f>SUM(E186)</f>
        <v>401.89395447607671</v>
      </c>
      <c r="F185" s="78">
        <f t="shared" ref="F185:G185" si="62">SUM(F186)</f>
        <v>663.61</v>
      </c>
      <c r="G185" s="78">
        <f t="shared" si="62"/>
        <v>650</v>
      </c>
      <c r="H185" s="72"/>
      <c r="I185" s="92"/>
    </row>
    <row r="186" spans="1:9" ht="15.75" thickBot="1" x14ac:dyDescent="0.3">
      <c r="A186" s="156">
        <v>4241</v>
      </c>
      <c r="B186" s="157"/>
      <c r="C186" s="158"/>
      <c r="D186" s="187" t="s">
        <v>122</v>
      </c>
      <c r="E186" s="320">
        <f>3028.07/7.5345</f>
        <v>401.89395447607671</v>
      </c>
      <c r="F186" s="321">
        <v>663.61</v>
      </c>
      <c r="G186" s="321">
        <v>650</v>
      </c>
      <c r="H186" s="322"/>
      <c r="I186" s="350"/>
    </row>
    <row r="187" spans="1:9" ht="15.75" thickBot="1" x14ac:dyDescent="0.3">
      <c r="A187" s="227"/>
      <c r="B187" s="229"/>
      <c r="C187" s="229"/>
      <c r="D187" s="228"/>
      <c r="E187" s="333"/>
      <c r="F187" s="333"/>
      <c r="G187" s="333"/>
      <c r="H187" s="334"/>
      <c r="I187" s="351"/>
    </row>
    <row r="188" spans="1:9" x14ac:dyDescent="0.25">
      <c r="A188" s="427" t="s">
        <v>160</v>
      </c>
      <c r="B188" s="428"/>
      <c r="C188" s="429"/>
      <c r="D188" s="208" t="s">
        <v>161</v>
      </c>
      <c r="E188" s="336"/>
      <c r="F188" s="337"/>
      <c r="G188" s="337"/>
      <c r="H188" s="337"/>
      <c r="I188" s="338"/>
    </row>
    <row r="189" spans="1:9" ht="25.5" x14ac:dyDescent="0.25">
      <c r="A189" s="418" t="s">
        <v>207</v>
      </c>
      <c r="B189" s="419"/>
      <c r="C189" s="420"/>
      <c r="D189" s="64" t="s">
        <v>198</v>
      </c>
      <c r="E189" s="76"/>
      <c r="F189" s="72"/>
      <c r="G189" s="72"/>
      <c r="H189" s="72"/>
      <c r="I189" s="176"/>
    </row>
    <row r="190" spans="1:9" x14ac:dyDescent="0.25">
      <c r="A190" s="424" t="s">
        <v>208</v>
      </c>
      <c r="B190" s="425"/>
      <c r="C190" s="426"/>
      <c r="D190" s="209" t="s">
        <v>209</v>
      </c>
      <c r="E190" s="341">
        <f>SUM(E191+E221)</f>
        <v>55110.147985931369</v>
      </c>
      <c r="F190" s="340">
        <f>SUM(F191+F221)</f>
        <v>47196.25</v>
      </c>
      <c r="G190" s="340">
        <f t="shared" ref="G190:I190" si="63">SUM(G191+G221)</f>
        <v>49800</v>
      </c>
      <c r="H190" s="341">
        <f t="shared" si="63"/>
        <v>50796</v>
      </c>
      <c r="I190" s="342">
        <f t="shared" si="63"/>
        <v>51792</v>
      </c>
    </row>
    <row r="191" spans="1:9" x14ac:dyDescent="0.25">
      <c r="A191" s="189">
        <v>3</v>
      </c>
      <c r="B191" s="190"/>
      <c r="C191" s="191"/>
      <c r="D191" s="217" t="s">
        <v>10</v>
      </c>
      <c r="E191" s="384">
        <f>SUM(E192+E217)</f>
        <v>50703.539717300409</v>
      </c>
      <c r="F191" s="317">
        <f t="shared" ref="F191:I191" si="64">SUM(F192+F217)</f>
        <v>47196.25</v>
      </c>
      <c r="G191" s="318">
        <f>SUM(G192+G217)</f>
        <v>49800</v>
      </c>
      <c r="H191" s="316">
        <f t="shared" si="64"/>
        <v>50796</v>
      </c>
      <c r="I191" s="319">
        <f t="shared" si="64"/>
        <v>51792</v>
      </c>
    </row>
    <row r="192" spans="1:9" x14ac:dyDescent="0.25">
      <c r="A192" s="220">
        <v>32</v>
      </c>
      <c r="B192" s="205"/>
      <c r="C192" s="206"/>
      <c r="D192" s="221" t="s">
        <v>22</v>
      </c>
      <c r="E192" s="355">
        <f>SUM(E193+E197+E204+E213)</f>
        <v>49776.493463401675</v>
      </c>
      <c r="F192" s="355">
        <f t="shared" ref="F192:G192" si="65">SUM(F193+F197+F204+F213)</f>
        <v>46784.81</v>
      </c>
      <c r="G192" s="366">
        <f t="shared" si="65"/>
        <v>49000</v>
      </c>
      <c r="H192" s="356">
        <f>G192*1.02</f>
        <v>49980</v>
      </c>
      <c r="I192" s="357">
        <f>G192*1.04</f>
        <v>50960</v>
      </c>
    </row>
    <row r="193" spans="1:9" x14ac:dyDescent="0.25">
      <c r="A193" s="175">
        <v>321</v>
      </c>
      <c r="B193" s="65"/>
      <c r="C193" s="66"/>
      <c r="D193" s="12" t="s">
        <v>87</v>
      </c>
      <c r="E193" s="78">
        <f>SUM(E194:E196)</f>
        <v>2950.3218528104053</v>
      </c>
      <c r="F193" s="78">
        <f t="shared" ref="F193" si="66">SUM(F194:F196)</f>
        <v>3185.35</v>
      </c>
      <c r="G193" s="78">
        <v>4500</v>
      </c>
      <c r="H193" s="72"/>
      <c r="I193" s="176"/>
    </row>
    <row r="194" spans="1:9" x14ac:dyDescent="0.25">
      <c r="A194" s="175">
        <v>3211</v>
      </c>
      <c r="B194" s="65"/>
      <c r="C194" s="66"/>
      <c r="D194" s="12" t="s">
        <v>116</v>
      </c>
      <c r="E194" s="78">
        <f>(449.62+16586.18)/7.5345</f>
        <v>2261.0392195898862</v>
      </c>
      <c r="F194" s="80">
        <v>2256.29</v>
      </c>
      <c r="G194" s="80">
        <v>3000</v>
      </c>
      <c r="H194" s="72"/>
      <c r="I194" s="176"/>
    </row>
    <row r="195" spans="1:9" x14ac:dyDescent="0.25">
      <c r="A195" s="175">
        <v>3213</v>
      </c>
      <c r="B195" s="65"/>
      <c r="C195" s="66"/>
      <c r="D195" s="222" t="s">
        <v>210</v>
      </c>
      <c r="E195" s="78">
        <f>2400/7.5345</f>
        <v>318.53474019510253</v>
      </c>
      <c r="F195" s="80">
        <v>398.17</v>
      </c>
      <c r="G195" s="80">
        <v>1000</v>
      </c>
      <c r="H195" s="72"/>
      <c r="I195" s="176"/>
    </row>
    <row r="196" spans="1:9" x14ac:dyDescent="0.25">
      <c r="A196" s="175">
        <v>3214</v>
      </c>
      <c r="B196" s="65"/>
      <c r="C196" s="66"/>
      <c r="D196" s="222" t="s">
        <v>222</v>
      </c>
      <c r="E196" s="78">
        <f>2793.4/7.5345</f>
        <v>370.74789302541643</v>
      </c>
      <c r="F196" s="80">
        <v>530.89</v>
      </c>
      <c r="G196" s="80">
        <v>500</v>
      </c>
      <c r="H196" s="72"/>
      <c r="I196" s="176"/>
    </row>
    <row r="197" spans="1:9" x14ac:dyDescent="0.25">
      <c r="A197" s="175">
        <v>322</v>
      </c>
      <c r="B197" s="65"/>
      <c r="C197" s="66"/>
      <c r="D197" s="42" t="s">
        <v>170</v>
      </c>
      <c r="E197" s="78">
        <f>SUM(E198:E203)</f>
        <v>31554.890171876028</v>
      </c>
      <c r="F197" s="78">
        <f t="shared" ref="F197" si="67">SUM(F198:F203)</f>
        <v>30924.42</v>
      </c>
      <c r="G197" s="78">
        <f>SUM(G198:G203)</f>
        <v>28300</v>
      </c>
      <c r="H197" s="72"/>
      <c r="I197" s="176"/>
    </row>
    <row r="198" spans="1:9" ht="25.5" x14ac:dyDescent="0.25">
      <c r="A198" s="175">
        <v>3221</v>
      </c>
      <c r="B198" s="65"/>
      <c r="C198" s="66"/>
      <c r="D198" s="42" t="s">
        <v>171</v>
      </c>
      <c r="E198" s="78">
        <f>90373.7/7.5345</f>
        <v>11994.65127082089</v>
      </c>
      <c r="F198" s="80">
        <v>7963.37</v>
      </c>
      <c r="G198" s="80">
        <v>6000</v>
      </c>
      <c r="H198" s="72"/>
      <c r="I198" s="176"/>
    </row>
    <row r="199" spans="1:9" x14ac:dyDescent="0.25">
      <c r="A199" s="175">
        <v>3222</v>
      </c>
      <c r="B199" s="65"/>
      <c r="C199" s="66"/>
      <c r="D199" s="42" t="s">
        <v>94</v>
      </c>
      <c r="E199" s="78">
        <f>2444.76/7.5345</f>
        <v>324.47541309974122</v>
      </c>
      <c r="F199" s="80">
        <v>663.61</v>
      </c>
      <c r="G199" s="80">
        <v>500</v>
      </c>
      <c r="H199" s="72"/>
      <c r="I199" s="176"/>
    </row>
    <row r="200" spans="1:9" x14ac:dyDescent="0.25">
      <c r="A200" s="175">
        <v>3223</v>
      </c>
      <c r="B200" s="65"/>
      <c r="C200" s="66"/>
      <c r="D200" s="42" t="s">
        <v>126</v>
      </c>
      <c r="E200" s="78">
        <f>124241.84/7.5345</f>
        <v>16489.725927400621</v>
      </c>
      <c r="F200" s="80">
        <v>20572.04</v>
      </c>
      <c r="G200" s="80">
        <v>20000</v>
      </c>
      <c r="H200" s="72"/>
      <c r="I200" s="176"/>
    </row>
    <row r="201" spans="1:9" ht="25.5" x14ac:dyDescent="0.25">
      <c r="A201" s="175">
        <v>3224</v>
      </c>
      <c r="B201" s="65"/>
      <c r="C201" s="66"/>
      <c r="D201" s="42" t="s">
        <v>172</v>
      </c>
      <c r="E201" s="78">
        <f>11277.11/7.5345</f>
        <v>1496.7297100006635</v>
      </c>
      <c r="F201" s="80">
        <v>1061.78</v>
      </c>
      <c r="G201" s="80">
        <v>1000</v>
      </c>
      <c r="H201" s="72"/>
      <c r="I201" s="176"/>
    </row>
    <row r="202" spans="1:9" x14ac:dyDescent="0.25">
      <c r="A202" s="175">
        <v>3225</v>
      </c>
      <c r="B202" s="65"/>
      <c r="C202" s="66"/>
      <c r="D202" s="42" t="s">
        <v>96</v>
      </c>
      <c r="E202" s="78">
        <f>7362.91/7.5345</f>
        <v>977.22609330413422</v>
      </c>
      <c r="F202" s="80">
        <v>265.45</v>
      </c>
      <c r="G202" s="80">
        <v>500</v>
      </c>
      <c r="H202" s="72"/>
      <c r="I202" s="176"/>
    </row>
    <row r="203" spans="1:9" ht="25.5" x14ac:dyDescent="0.25">
      <c r="A203" s="175">
        <v>3227</v>
      </c>
      <c r="B203" s="65"/>
      <c r="C203" s="66"/>
      <c r="D203" s="42" t="s">
        <v>200</v>
      </c>
      <c r="E203" s="78">
        <f>2050/7.5345</f>
        <v>272.08175724998341</v>
      </c>
      <c r="F203" s="80">
        <v>398.17</v>
      </c>
      <c r="G203" s="80">
        <v>300</v>
      </c>
      <c r="H203" s="72"/>
      <c r="I203" s="176"/>
    </row>
    <row r="204" spans="1:9" x14ac:dyDescent="0.25">
      <c r="A204" s="175">
        <v>323</v>
      </c>
      <c r="B204" s="65"/>
      <c r="C204" s="66"/>
      <c r="D204" s="42" t="s">
        <v>98</v>
      </c>
      <c r="E204" s="78">
        <f>SUM(E205:E212)</f>
        <v>13841.032583449465</v>
      </c>
      <c r="F204" s="78">
        <f t="shared" ref="F204:G204" si="68">SUM(F205:F212)</f>
        <v>11148.73</v>
      </c>
      <c r="G204" s="78">
        <f t="shared" si="68"/>
        <v>12600</v>
      </c>
      <c r="H204" s="72"/>
      <c r="I204" s="176"/>
    </row>
    <row r="205" spans="1:9" x14ac:dyDescent="0.25">
      <c r="A205" s="175">
        <v>3231</v>
      </c>
      <c r="B205" s="65"/>
      <c r="C205" s="66"/>
      <c r="D205" s="42" t="s">
        <v>211</v>
      </c>
      <c r="E205" s="78">
        <f>12825.89/7.5345</f>
        <v>1702.288141217068</v>
      </c>
      <c r="F205" s="80">
        <v>1725.4</v>
      </c>
      <c r="G205" s="80">
        <v>1800</v>
      </c>
      <c r="H205" s="72"/>
      <c r="I205" s="176"/>
    </row>
    <row r="206" spans="1:9" x14ac:dyDescent="0.25">
      <c r="A206" s="175">
        <v>3232</v>
      </c>
      <c r="B206" s="65"/>
      <c r="C206" s="66"/>
      <c r="D206" s="42" t="s">
        <v>202</v>
      </c>
      <c r="E206" s="78">
        <f>25203.27/7.5345</f>
        <v>3345.0487756320922</v>
      </c>
      <c r="F206" s="80">
        <v>3185.35</v>
      </c>
      <c r="G206" s="80">
        <v>3000</v>
      </c>
      <c r="H206" s="72"/>
      <c r="I206" s="176"/>
    </row>
    <row r="207" spans="1:9" x14ac:dyDescent="0.25">
      <c r="A207" s="175">
        <v>3233</v>
      </c>
      <c r="B207" s="65"/>
      <c r="C207" s="66"/>
      <c r="D207" s="42" t="s">
        <v>212</v>
      </c>
      <c r="E207" s="78">
        <f>4761/7.5345</f>
        <v>631.89329086203463</v>
      </c>
      <c r="F207" s="80">
        <v>132.72</v>
      </c>
      <c r="G207" s="80">
        <v>0</v>
      </c>
      <c r="H207" s="72"/>
      <c r="I207" s="176"/>
    </row>
    <row r="208" spans="1:9" x14ac:dyDescent="0.25">
      <c r="A208" s="175">
        <v>3234</v>
      </c>
      <c r="B208" s="65"/>
      <c r="C208" s="66"/>
      <c r="D208" s="42" t="s">
        <v>100</v>
      </c>
      <c r="E208" s="78">
        <f>24857.4/7.5345</f>
        <v>3299.1439378857258</v>
      </c>
      <c r="F208" s="80">
        <v>3185.35</v>
      </c>
      <c r="G208" s="80">
        <v>3500</v>
      </c>
      <c r="H208" s="72"/>
      <c r="I208" s="176"/>
    </row>
    <row r="209" spans="1:9" x14ac:dyDescent="0.25">
      <c r="A209" s="175">
        <v>3236</v>
      </c>
      <c r="B209" s="65"/>
      <c r="C209" s="66"/>
      <c r="D209" s="42" t="s">
        <v>187</v>
      </c>
      <c r="E209" s="78">
        <f>935/7.5345</f>
        <v>124.09582586767536</v>
      </c>
      <c r="F209" s="80">
        <v>1194.51</v>
      </c>
      <c r="G209" s="80">
        <v>2500</v>
      </c>
      <c r="H209" s="72"/>
      <c r="I209" s="176"/>
    </row>
    <row r="210" spans="1:9" x14ac:dyDescent="0.25">
      <c r="A210" s="175">
        <v>3237</v>
      </c>
      <c r="B210" s="65"/>
      <c r="C210" s="66"/>
      <c r="D210" s="42" t="s">
        <v>129</v>
      </c>
      <c r="E210" s="78">
        <f>29083.32/7.5345</f>
        <v>3860.0199084212618</v>
      </c>
      <c r="F210" s="80">
        <v>265.45</v>
      </c>
      <c r="G210" s="80">
        <v>300</v>
      </c>
      <c r="H210" s="72"/>
      <c r="I210" s="176"/>
    </row>
    <row r="211" spans="1:9" x14ac:dyDescent="0.25">
      <c r="A211" s="175">
        <v>3238</v>
      </c>
      <c r="B211" s="65"/>
      <c r="C211" s="66"/>
      <c r="D211" s="42" t="s">
        <v>130</v>
      </c>
      <c r="E211" s="78">
        <f>6138.38/7.5345</f>
        <v>814.70303271617229</v>
      </c>
      <c r="F211" s="80">
        <v>929.06</v>
      </c>
      <c r="G211" s="80">
        <v>1000</v>
      </c>
      <c r="H211" s="72"/>
      <c r="I211" s="176"/>
    </row>
    <row r="212" spans="1:9" x14ac:dyDescent="0.25">
      <c r="A212" s="175">
        <v>3239</v>
      </c>
      <c r="B212" s="65"/>
      <c r="C212" s="66"/>
      <c r="D212" s="42" t="s">
        <v>101</v>
      </c>
      <c r="E212" s="78">
        <f>481/7.5345</f>
        <v>63.83967084743513</v>
      </c>
      <c r="F212" s="80">
        <v>530.89</v>
      </c>
      <c r="G212" s="80">
        <v>500</v>
      </c>
      <c r="H212" s="72"/>
      <c r="I212" s="176"/>
    </row>
    <row r="213" spans="1:9" x14ac:dyDescent="0.25">
      <c r="A213" s="175">
        <v>329</v>
      </c>
      <c r="B213" s="65"/>
      <c r="C213" s="66"/>
      <c r="D213" s="42" t="s">
        <v>166</v>
      </c>
      <c r="E213" s="78">
        <f>SUM(E214:E216)</f>
        <v>1430.2488552657771</v>
      </c>
      <c r="F213" s="78">
        <f t="shared" ref="F213:G213" si="69">SUM(F214:F216)</f>
        <v>1526.31</v>
      </c>
      <c r="G213" s="78">
        <f t="shared" si="69"/>
        <v>3600</v>
      </c>
      <c r="H213" s="72"/>
      <c r="I213" s="176"/>
    </row>
    <row r="214" spans="1:9" x14ac:dyDescent="0.25">
      <c r="A214" s="175">
        <v>3294</v>
      </c>
      <c r="B214" s="65"/>
      <c r="C214" s="66"/>
      <c r="D214" s="42" t="s">
        <v>131</v>
      </c>
      <c r="E214" s="78">
        <f>1200/7.5345</f>
        <v>159.26737009755126</v>
      </c>
      <c r="F214" s="80">
        <v>199.08</v>
      </c>
      <c r="G214" s="80">
        <v>300</v>
      </c>
      <c r="H214" s="72"/>
      <c r="I214" s="176"/>
    </row>
    <row r="215" spans="1:9" x14ac:dyDescent="0.25">
      <c r="A215" s="175">
        <v>3295</v>
      </c>
      <c r="B215" s="65"/>
      <c r="C215" s="66"/>
      <c r="D215" s="42" t="s">
        <v>132</v>
      </c>
      <c r="E215" s="78">
        <f>555/7.5345</f>
        <v>73.661158670117459</v>
      </c>
      <c r="F215" s="80"/>
      <c r="G215" s="80">
        <v>100</v>
      </c>
      <c r="H215" s="72"/>
      <c r="I215" s="176"/>
    </row>
    <row r="216" spans="1:9" x14ac:dyDescent="0.25">
      <c r="A216" s="175">
        <v>3299</v>
      </c>
      <c r="B216" s="65"/>
      <c r="C216" s="66"/>
      <c r="D216" s="42" t="s">
        <v>166</v>
      </c>
      <c r="E216" s="78">
        <f>9021.21/7.5345</f>
        <v>1197.3203264981084</v>
      </c>
      <c r="F216" s="80">
        <v>1327.23</v>
      </c>
      <c r="G216" s="80">
        <v>3200</v>
      </c>
      <c r="H216" s="72"/>
      <c r="I216" s="176"/>
    </row>
    <row r="217" spans="1:9" x14ac:dyDescent="0.25">
      <c r="A217" s="189">
        <v>3</v>
      </c>
      <c r="B217" s="190"/>
      <c r="C217" s="191"/>
      <c r="D217" s="192" t="s">
        <v>10</v>
      </c>
      <c r="E217" s="317">
        <f>SUM(E218)</f>
        <v>927.0462538987324</v>
      </c>
      <c r="F217" s="317">
        <f t="shared" ref="F217:I219" si="70">SUM(F218)</f>
        <v>411.44</v>
      </c>
      <c r="G217" s="318">
        <f t="shared" si="70"/>
        <v>800</v>
      </c>
      <c r="H217" s="316">
        <f t="shared" si="70"/>
        <v>816</v>
      </c>
      <c r="I217" s="319">
        <f t="shared" si="70"/>
        <v>832</v>
      </c>
    </row>
    <row r="218" spans="1:9" x14ac:dyDescent="0.25">
      <c r="A218" s="220">
        <v>34</v>
      </c>
      <c r="B218" s="205"/>
      <c r="C218" s="206"/>
      <c r="D218" s="223" t="s">
        <v>78</v>
      </c>
      <c r="E218" s="355">
        <f>SUM(E219)</f>
        <v>927.0462538987324</v>
      </c>
      <c r="F218" s="355">
        <f t="shared" si="70"/>
        <v>411.44</v>
      </c>
      <c r="G218" s="366">
        <f t="shared" si="70"/>
        <v>800</v>
      </c>
      <c r="H218" s="356">
        <f>G218*1.02</f>
        <v>816</v>
      </c>
      <c r="I218" s="357">
        <f>G218*1.04</f>
        <v>832</v>
      </c>
    </row>
    <row r="219" spans="1:9" x14ac:dyDescent="0.25">
      <c r="A219" s="175">
        <v>343</v>
      </c>
      <c r="B219" s="65"/>
      <c r="C219" s="66"/>
      <c r="D219" s="42" t="s">
        <v>189</v>
      </c>
      <c r="E219" s="78">
        <f>SUM(E220)</f>
        <v>927.0462538987324</v>
      </c>
      <c r="F219" s="78">
        <f t="shared" si="70"/>
        <v>411.44</v>
      </c>
      <c r="G219" s="78">
        <f t="shared" si="70"/>
        <v>800</v>
      </c>
      <c r="H219" s="262">
        <f t="shared" si="70"/>
        <v>0</v>
      </c>
      <c r="I219" s="266">
        <f t="shared" si="70"/>
        <v>0</v>
      </c>
    </row>
    <row r="220" spans="1:9" x14ac:dyDescent="0.25">
      <c r="A220" s="175">
        <v>3431</v>
      </c>
      <c r="B220" s="65"/>
      <c r="C220" s="66"/>
      <c r="D220" s="67" t="s">
        <v>213</v>
      </c>
      <c r="E220" s="78">
        <f>6984.83/7.5345</f>
        <v>927.0462538987324</v>
      </c>
      <c r="F220" s="80">
        <v>411.44</v>
      </c>
      <c r="G220" s="80">
        <v>800</v>
      </c>
      <c r="H220" s="235"/>
      <c r="I220" s="236"/>
    </row>
    <row r="221" spans="1:9" x14ac:dyDescent="0.25">
      <c r="A221" s="189">
        <v>4</v>
      </c>
      <c r="B221" s="190"/>
      <c r="C221" s="191"/>
      <c r="D221" s="217" t="s">
        <v>214</v>
      </c>
      <c r="E221" s="317">
        <f>SUM(E222)</f>
        <v>4406.6082686309637</v>
      </c>
      <c r="F221" s="317">
        <f t="shared" ref="F221:I222" si="71">SUM(F222)</f>
        <v>0</v>
      </c>
      <c r="G221" s="317">
        <f t="shared" si="71"/>
        <v>0</v>
      </c>
      <c r="H221" s="316">
        <f t="shared" si="71"/>
        <v>0</v>
      </c>
      <c r="I221" s="319">
        <f t="shared" si="71"/>
        <v>0</v>
      </c>
    </row>
    <row r="222" spans="1:9" x14ac:dyDescent="0.25">
      <c r="A222" s="220">
        <v>42</v>
      </c>
      <c r="B222" s="205"/>
      <c r="C222" s="206"/>
      <c r="D222" s="221" t="s">
        <v>215</v>
      </c>
      <c r="E222" s="355">
        <f>SUM(E223)</f>
        <v>4406.6082686309637</v>
      </c>
      <c r="F222" s="355">
        <f t="shared" si="71"/>
        <v>0</v>
      </c>
      <c r="G222" s="355">
        <f t="shared" si="71"/>
        <v>0</v>
      </c>
      <c r="H222" s="356">
        <f t="shared" si="71"/>
        <v>0</v>
      </c>
      <c r="I222" s="357">
        <f t="shared" si="71"/>
        <v>0</v>
      </c>
    </row>
    <row r="223" spans="1:9" x14ac:dyDescent="0.25">
      <c r="A223" s="175">
        <v>422</v>
      </c>
      <c r="B223" s="65"/>
      <c r="C223" s="66"/>
      <c r="D223" s="67" t="s">
        <v>119</v>
      </c>
      <c r="E223" s="78">
        <f>SUM(E224:E227)</f>
        <v>4406.6082686309637</v>
      </c>
      <c r="F223" s="78">
        <f t="shared" ref="F223:G223" si="72">SUM(F224:F227)</f>
        <v>0</v>
      </c>
      <c r="G223" s="78">
        <f t="shared" si="72"/>
        <v>0</v>
      </c>
      <c r="H223" s="262"/>
      <c r="I223" s="266"/>
    </row>
    <row r="224" spans="1:9" x14ac:dyDescent="0.25">
      <c r="A224" s="175">
        <v>4221</v>
      </c>
      <c r="B224" s="65"/>
      <c r="C224" s="66"/>
      <c r="D224" s="67" t="s">
        <v>120</v>
      </c>
      <c r="E224" s="78">
        <f>33201.59/7.5345</f>
        <v>4406.6082686309637</v>
      </c>
      <c r="F224" s="80"/>
      <c r="G224" s="72"/>
      <c r="H224" s="235"/>
      <c r="I224" s="236"/>
    </row>
    <row r="225" spans="1:9" x14ac:dyDescent="0.25">
      <c r="A225" s="175">
        <v>4223</v>
      </c>
      <c r="B225" s="65"/>
      <c r="C225" s="66"/>
      <c r="D225" s="67" t="s">
        <v>216</v>
      </c>
      <c r="E225" s="76"/>
      <c r="F225" s="80"/>
      <c r="G225" s="72"/>
      <c r="H225" s="235"/>
      <c r="I225" s="236"/>
    </row>
    <row r="226" spans="1:9" x14ac:dyDescent="0.25">
      <c r="A226" s="175">
        <v>4226</v>
      </c>
      <c r="B226" s="65"/>
      <c r="C226" s="66"/>
      <c r="D226" s="67" t="s">
        <v>217</v>
      </c>
      <c r="E226" s="76"/>
      <c r="F226" s="80"/>
      <c r="G226" s="72"/>
      <c r="H226" s="235"/>
      <c r="I226" s="236"/>
    </row>
    <row r="227" spans="1:9" ht="15.75" thickBot="1" x14ac:dyDescent="0.3">
      <c r="A227" s="196">
        <v>4227</v>
      </c>
      <c r="B227" s="197"/>
      <c r="C227" s="198"/>
      <c r="D227" s="187" t="s">
        <v>218</v>
      </c>
      <c r="E227" s="353"/>
      <c r="F227" s="321">
        <v>0</v>
      </c>
      <c r="G227" s="322"/>
      <c r="H227" s="367"/>
      <c r="I227" s="368"/>
    </row>
    <row r="228" spans="1:9" ht="15.75" thickBot="1" x14ac:dyDescent="0.3">
      <c r="A228" s="311"/>
      <c r="B228" s="312"/>
      <c r="C228" s="312"/>
      <c r="D228" s="228"/>
      <c r="E228" s="334"/>
      <c r="F228" s="333"/>
      <c r="G228" s="334"/>
      <c r="H228" s="369"/>
      <c r="I228" s="370"/>
    </row>
    <row r="229" spans="1:9" x14ac:dyDescent="0.25">
      <c r="A229" s="427" t="s">
        <v>160</v>
      </c>
      <c r="B229" s="428"/>
      <c r="C229" s="429"/>
      <c r="D229" s="230" t="s">
        <v>161</v>
      </c>
      <c r="E229" s="336"/>
      <c r="F229" s="337"/>
      <c r="G229" s="337"/>
      <c r="H229" s="371"/>
      <c r="I229" s="372"/>
    </row>
    <row r="230" spans="1:9" ht="25.5" x14ac:dyDescent="0.25">
      <c r="A230" s="418" t="s">
        <v>193</v>
      </c>
      <c r="B230" s="419"/>
      <c r="C230" s="420"/>
      <c r="D230" s="64" t="s">
        <v>198</v>
      </c>
      <c r="E230" s="76"/>
      <c r="F230" s="72"/>
      <c r="G230" s="72"/>
      <c r="H230" s="235"/>
      <c r="I230" s="236"/>
    </row>
    <row r="231" spans="1:9" x14ac:dyDescent="0.25">
      <c r="A231" s="424" t="s">
        <v>219</v>
      </c>
      <c r="B231" s="425"/>
      <c r="C231" s="426"/>
      <c r="D231" s="224" t="s">
        <v>220</v>
      </c>
      <c r="E231" s="341">
        <f>SUM(E232)</f>
        <v>0</v>
      </c>
      <c r="F231" s="339">
        <f t="shared" ref="F231:I234" si="73">SUM(F232)</f>
        <v>0</v>
      </c>
      <c r="G231" s="339">
        <f t="shared" si="73"/>
        <v>0</v>
      </c>
      <c r="H231" s="341">
        <f t="shared" si="73"/>
        <v>0</v>
      </c>
      <c r="I231" s="342">
        <f t="shared" si="73"/>
        <v>0</v>
      </c>
    </row>
    <row r="232" spans="1:9" x14ac:dyDescent="0.25">
      <c r="A232" s="189">
        <v>3</v>
      </c>
      <c r="B232" s="190"/>
      <c r="C232" s="191"/>
      <c r="D232" s="217" t="s">
        <v>10</v>
      </c>
      <c r="E232" s="316">
        <f>SUM(E233)</f>
        <v>0</v>
      </c>
      <c r="F232" s="317">
        <f t="shared" si="73"/>
        <v>0</v>
      </c>
      <c r="G232" s="317">
        <f t="shared" si="73"/>
        <v>0</v>
      </c>
      <c r="H232" s="316">
        <f t="shared" si="73"/>
        <v>0</v>
      </c>
      <c r="I232" s="319">
        <f t="shared" si="73"/>
        <v>0</v>
      </c>
    </row>
    <row r="233" spans="1:9" x14ac:dyDescent="0.25">
      <c r="A233" s="220">
        <v>32</v>
      </c>
      <c r="B233" s="205"/>
      <c r="C233" s="206"/>
      <c r="D233" s="221" t="s">
        <v>22</v>
      </c>
      <c r="E233" s="356">
        <f>SUM(E234)</f>
        <v>0</v>
      </c>
      <c r="F233" s="355">
        <f t="shared" si="73"/>
        <v>0</v>
      </c>
      <c r="G233" s="355">
        <f t="shared" si="73"/>
        <v>0</v>
      </c>
      <c r="H233" s="356">
        <f t="shared" si="73"/>
        <v>0</v>
      </c>
      <c r="I233" s="357">
        <f t="shared" si="73"/>
        <v>0</v>
      </c>
    </row>
    <row r="234" spans="1:9" x14ac:dyDescent="0.25">
      <c r="A234" s="175">
        <v>322</v>
      </c>
      <c r="B234" s="65"/>
      <c r="C234" s="66"/>
      <c r="D234" s="67" t="s">
        <v>170</v>
      </c>
      <c r="E234" s="262">
        <f>SUM(E235)</f>
        <v>0</v>
      </c>
      <c r="F234" s="78">
        <f t="shared" si="73"/>
        <v>0</v>
      </c>
      <c r="G234" s="78">
        <f t="shared" si="73"/>
        <v>0</v>
      </c>
      <c r="H234" s="235"/>
      <c r="I234" s="236"/>
    </row>
    <row r="235" spans="1:9" ht="15.75" thickBot="1" x14ac:dyDescent="0.3">
      <c r="A235" s="200">
        <v>3225</v>
      </c>
      <c r="B235" s="201"/>
      <c r="C235" s="202"/>
      <c r="D235" s="213" t="s">
        <v>96</v>
      </c>
      <c r="E235" s="327">
        <v>0</v>
      </c>
      <c r="F235" s="328"/>
      <c r="G235" s="329"/>
      <c r="H235" s="373"/>
      <c r="I235" s="374"/>
    </row>
    <row r="236" spans="1:9" x14ac:dyDescent="0.25">
      <c r="A236" s="427" t="s">
        <v>160</v>
      </c>
      <c r="B236" s="428"/>
      <c r="C236" s="429"/>
      <c r="D236" s="208" t="s">
        <v>161</v>
      </c>
      <c r="E236" s="336"/>
      <c r="F236" s="337"/>
      <c r="G236" s="352"/>
      <c r="H236" s="371"/>
      <c r="I236" s="372"/>
    </row>
    <row r="237" spans="1:9" ht="25.5" x14ac:dyDescent="0.25">
      <c r="A237" s="418" t="s">
        <v>193</v>
      </c>
      <c r="B237" s="419"/>
      <c r="C237" s="420"/>
      <c r="D237" s="64" t="s">
        <v>198</v>
      </c>
      <c r="E237" s="76"/>
      <c r="F237" s="72"/>
      <c r="G237" s="80"/>
      <c r="H237" s="235"/>
      <c r="I237" s="236"/>
    </row>
    <row r="238" spans="1:9" x14ac:dyDescent="0.25">
      <c r="A238" s="189">
        <v>4</v>
      </c>
      <c r="B238" s="190"/>
      <c r="C238" s="191"/>
      <c r="D238" s="217" t="s">
        <v>214</v>
      </c>
      <c r="E238" s="375">
        <f>SUM(E239)</f>
        <v>0</v>
      </c>
      <c r="F238" s="375">
        <f>SUM(F239)</f>
        <v>0</v>
      </c>
      <c r="G238" s="376">
        <f t="shared" ref="G238:I238" si="74">SUM(G239)</f>
        <v>1500</v>
      </c>
      <c r="H238" s="376">
        <f t="shared" si="74"/>
        <v>1530</v>
      </c>
      <c r="I238" s="380">
        <f t="shared" si="74"/>
        <v>1560</v>
      </c>
    </row>
    <row r="239" spans="1:9" x14ac:dyDescent="0.25">
      <c r="A239" s="220">
        <v>42</v>
      </c>
      <c r="B239" s="205"/>
      <c r="C239" s="206"/>
      <c r="D239" s="221" t="s">
        <v>175</v>
      </c>
      <c r="E239" s="377">
        <v>0</v>
      </c>
      <c r="F239" s="377">
        <v>0</v>
      </c>
      <c r="G239" s="378">
        <v>1500</v>
      </c>
      <c r="H239" s="378">
        <f>G239*1.02</f>
        <v>1530</v>
      </c>
      <c r="I239" s="379">
        <f>G239*1.04</f>
        <v>1560</v>
      </c>
    </row>
    <row r="240" spans="1:9" ht="15.75" thickBot="1" x14ac:dyDescent="0.3">
      <c r="A240" s="200">
        <v>94</v>
      </c>
      <c r="B240" s="201"/>
      <c r="C240" s="202"/>
      <c r="D240" s="213" t="s">
        <v>223</v>
      </c>
      <c r="E240" s="327"/>
      <c r="F240" s="373"/>
      <c r="G240" s="328"/>
      <c r="H240" s="328"/>
      <c r="I240" s="330"/>
    </row>
    <row r="242" spans="1:9" x14ac:dyDescent="0.25">
      <c r="A242" t="s">
        <v>247</v>
      </c>
      <c r="F242" t="s">
        <v>243</v>
      </c>
      <c r="I242" t="s">
        <v>246</v>
      </c>
    </row>
    <row r="243" spans="1:9" x14ac:dyDescent="0.25">
      <c r="A243" t="s">
        <v>248</v>
      </c>
      <c r="F243" t="s">
        <v>244</v>
      </c>
      <c r="I243" t="s">
        <v>245</v>
      </c>
    </row>
  </sheetData>
  <mergeCells count="50">
    <mergeCell ref="A1:I1"/>
    <mergeCell ref="A3:I3"/>
    <mergeCell ref="A5:C5"/>
    <mergeCell ref="A6:C6"/>
    <mergeCell ref="A7:C7"/>
    <mergeCell ref="A8:C8"/>
    <mergeCell ref="A9:C9"/>
    <mergeCell ref="A10:C10"/>
    <mergeCell ref="A19:C19"/>
    <mergeCell ref="A20:C20"/>
    <mergeCell ref="A26:C26"/>
    <mergeCell ref="A27:C27"/>
    <mergeCell ref="A28:C28"/>
    <mergeCell ref="A29:C29"/>
    <mergeCell ref="A39:C39"/>
    <mergeCell ref="A40:C40"/>
    <mergeCell ref="A41:C41"/>
    <mergeCell ref="A49:C49"/>
    <mergeCell ref="A50:C50"/>
    <mergeCell ref="A67:C67"/>
    <mergeCell ref="A68:C68"/>
    <mergeCell ref="A69:C69"/>
    <mergeCell ref="A78:C78"/>
    <mergeCell ref="A79:C79"/>
    <mergeCell ref="A80:C80"/>
    <mergeCell ref="A87:C87"/>
    <mergeCell ref="A88:C88"/>
    <mergeCell ref="A89:C89"/>
    <mergeCell ref="A94:C94"/>
    <mergeCell ref="A95:C95"/>
    <mergeCell ref="A96:C96"/>
    <mergeCell ref="A102:C102"/>
    <mergeCell ref="A103:C103"/>
    <mergeCell ref="A104:C104"/>
    <mergeCell ref="A117:C117"/>
    <mergeCell ref="A118:C118"/>
    <mergeCell ref="A143:C143"/>
    <mergeCell ref="A144:C144"/>
    <mergeCell ref="A145:C145"/>
    <mergeCell ref="A158:C158"/>
    <mergeCell ref="A159:C159"/>
    <mergeCell ref="A160:C160"/>
    <mergeCell ref="A231:C231"/>
    <mergeCell ref="A236:C236"/>
    <mergeCell ref="A237:C237"/>
    <mergeCell ref="A188:C188"/>
    <mergeCell ref="A189:C189"/>
    <mergeCell ref="A190:C190"/>
    <mergeCell ref="A229:C229"/>
    <mergeCell ref="A230:C2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F37" sqref="F3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2024-01-04T11:04:41Z</cp:lastPrinted>
  <dcterms:created xsi:type="dcterms:W3CDTF">2022-08-12T12:51:27Z</dcterms:created>
  <dcterms:modified xsi:type="dcterms:W3CDTF">2024-01-04T11:05:23Z</dcterms:modified>
</cp:coreProperties>
</file>