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čunovodstvo\Desktop\Financije2020\FINANCIJSKA IZVJEŠĆA\FINANCIJSKA IZVJEŠĆA 2023\ŠKOLSKI ODBOR 29.12.2023\"/>
    </mc:Choice>
  </mc:AlternateContent>
  <xr:revisionPtr revIDLastSave="0" documentId="13_ncr:1_{A6DE9D55-6F73-4675-AB72-DF5523CAE3C5}" xr6:coauthVersionLast="37" xr6:coauthVersionMax="47" xr10:uidLastSave="{00000000-0000-0000-0000-000000000000}"/>
  <bookViews>
    <workbookView xWindow="3510" yWindow="750" windowWidth="21630" windowHeight="14850" xr2:uid="{00000000-000D-0000-FFFF-FFFF00000000}"/>
  </bookViews>
  <sheets>
    <sheet name="Izmjena Račun prihoda i rash. 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2" l="1"/>
  <c r="E118" i="2"/>
  <c r="E115" i="2"/>
  <c r="E111" i="2"/>
  <c r="E109" i="2"/>
  <c r="E107" i="2"/>
  <c r="E104" i="2"/>
  <c r="E19" i="2"/>
  <c r="E197" i="2"/>
  <c r="E195" i="2"/>
  <c r="E191" i="2"/>
  <c r="E189" i="2"/>
  <c r="E185" i="2"/>
  <c r="E178" i="2"/>
  <c r="E168" i="2"/>
  <c r="E167" i="2"/>
  <c r="E165" i="2"/>
  <c r="E164" i="2"/>
  <c r="E163" i="2"/>
  <c r="E158" i="2"/>
  <c r="E157" i="2"/>
  <c r="E155" i="2"/>
  <c r="E153" i="2" s="1"/>
  <c r="E150" i="2"/>
  <c r="E149" i="2" s="1"/>
  <c r="E148" i="2"/>
  <c r="E147" i="2" s="1"/>
  <c r="E145" i="2"/>
  <c r="E144" i="2" s="1"/>
  <c r="E139" i="2"/>
  <c r="E132" i="2"/>
  <c r="E128" i="2"/>
  <c r="E124" i="2"/>
  <c r="E123" i="2"/>
  <c r="E120" i="2"/>
  <c r="E106" i="2"/>
  <c r="E105" i="2"/>
  <c r="E97" i="2"/>
  <c r="E96" i="2" s="1"/>
  <c r="E95" i="2" s="1"/>
  <c r="E99" i="2" s="1"/>
  <c r="G97" i="2"/>
  <c r="G96" i="2" s="1"/>
  <c r="G95" i="2" s="1"/>
  <c r="G99" i="2" s="1"/>
  <c r="F97" i="2"/>
  <c r="F96" i="2" s="1"/>
  <c r="F95" i="2" s="1"/>
  <c r="E87" i="2"/>
  <c r="E81" i="2"/>
  <c r="E92" i="2"/>
  <c r="E78" i="2"/>
  <c r="E75" i="2"/>
  <c r="E76" i="2"/>
  <c r="E237" i="2"/>
  <c r="E230" i="2"/>
  <c r="E226" i="2"/>
  <c r="E225" i="2"/>
  <c r="E224" i="2"/>
  <c r="E222" i="2"/>
  <c r="E221" i="2"/>
  <c r="E220" i="2"/>
  <c r="E219" i="2"/>
  <c r="E218" i="2"/>
  <c r="E217" i="2"/>
  <c r="E216" i="2"/>
  <c r="E215" i="2"/>
  <c r="E213" i="2"/>
  <c r="E212" i="2"/>
  <c r="E211" i="2"/>
  <c r="E210" i="2"/>
  <c r="E209" i="2"/>
  <c r="E208" i="2"/>
  <c r="E206" i="2"/>
  <c r="E205" i="2"/>
  <c r="E66" i="2"/>
  <c r="E203" i="2"/>
  <c r="E156" i="2" l="1"/>
  <c r="E143" i="2"/>
  <c r="E62" i="2"/>
  <c r="E60" i="2"/>
  <c r="E56" i="2"/>
  <c r="E57" i="2"/>
  <c r="E20" i="2"/>
  <c r="E24" i="2"/>
  <c r="E34" i="2"/>
  <c r="E33" i="2" s="1"/>
  <c r="E28" i="2"/>
  <c r="E32" i="2"/>
  <c r="E43" i="2"/>
  <c r="E39" i="2"/>
  <c r="G156" i="2" l="1"/>
  <c r="G59" i="2"/>
  <c r="G23" i="2"/>
  <c r="G22" i="2" s="1"/>
  <c r="G25" i="2" s="1"/>
  <c r="G18" i="2"/>
  <c r="G17" i="2" s="1"/>
  <c r="G242" i="2"/>
  <c r="G236" i="2"/>
  <c r="G235" i="2" s="1"/>
  <c r="F236" i="2"/>
  <c r="F235" i="2" s="1"/>
  <c r="F234" i="2" s="1"/>
  <c r="E236" i="2"/>
  <c r="E235" i="2" s="1"/>
  <c r="E234" i="2" s="1"/>
  <c r="G229" i="2"/>
  <c r="G228" i="2" s="1"/>
  <c r="G232" i="2" s="1"/>
  <c r="F229" i="2"/>
  <c r="F228" i="2" s="1"/>
  <c r="E229" i="2"/>
  <c r="E228" i="2" s="1"/>
  <c r="E232" i="2" s="1"/>
  <c r="F223" i="2"/>
  <c r="E223" i="2"/>
  <c r="F214" i="2"/>
  <c r="E214" i="2"/>
  <c r="F207" i="2"/>
  <c r="E207" i="2"/>
  <c r="G202" i="2"/>
  <c r="F202" i="2"/>
  <c r="E202" i="2"/>
  <c r="G196" i="2"/>
  <c r="F196" i="2"/>
  <c r="E196" i="2"/>
  <c r="G194" i="2"/>
  <c r="F194" i="2"/>
  <c r="E194" i="2"/>
  <c r="G190" i="2"/>
  <c r="F190" i="2"/>
  <c r="E190" i="2"/>
  <c r="G188" i="2"/>
  <c r="F188" i="2"/>
  <c r="E188" i="2"/>
  <c r="G184" i="2"/>
  <c r="F184" i="2"/>
  <c r="E184" i="2"/>
  <c r="G177" i="2"/>
  <c r="F177" i="2"/>
  <c r="E177" i="2"/>
  <c r="G173" i="2"/>
  <c r="F173" i="2"/>
  <c r="E173" i="2"/>
  <c r="G166" i="2"/>
  <c r="F166" i="2"/>
  <c r="E166" i="2"/>
  <c r="G162" i="2"/>
  <c r="F162" i="2"/>
  <c r="E162" i="2"/>
  <c r="F156" i="2"/>
  <c r="G153" i="2"/>
  <c r="F153" i="2"/>
  <c r="G149" i="2"/>
  <c r="F149" i="2"/>
  <c r="G147" i="2"/>
  <c r="F147" i="2"/>
  <c r="F144" i="2"/>
  <c r="F138" i="2"/>
  <c r="F137" i="2" s="1"/>
  <c r="F136" i="2" s="1"/>
  <c r="E138" i="2"/>
  <c r="E137" i="2" s="1"/>
  <c r="E136" i="2" s="1"/>
  <c r="E140" i="2" s="1"/>
  <c r="G131" i="2"/>
  <c r="G130" i="2" s="1"/>
  <c r="G134" i="2" s="1"/>
  <c r="F131" i="2"/>
  <c r="F130" i="2" s="1"/>
  <c r="E131" i="2"/>
  <c r="E130" i="2" s="1"/>
  <c r="E134" i="2" s="1"/>
  <c r="G127" i="2"/>
  <c r="G126" i="2" s="1"/>
  <c r="F127" i="2"/>
  <c r="F126" i="2" s="1"/>
  <c r="E127" i="2"/>
  <c r="E126" i="2" s="1"/>
  <c r="E129" i="2" s="1"/>
  <c r="G122" i="2"/>
  <c r="F122" i="2"/>
  <c r="E122" i="2"/>
  <c r="G119" i="2"/>
  <c r="F119" i="2"/>
  <c r="E119" i="2"/>
  <c r="G116" i="2"/>
  <c r="F116" i="2"/>
  <c r="E116" i="2"/>
  <c r="G114" i="2"/>
  <c r="F114" i="2"/>
  <c r="E114" i="2"/>
  <c r="G110" i="2"/>
  <c r="F110" i="2"/>
  <c r="E110" i="2"/>
  <c r="G108" i="2"/>
  <c r="F108" i="2"/>
  <c r="E108" i="2"/>
  <c r="F103" i="2"/>
  <c r="E103" i="2"/>
  <c r="G91" i="2"/>
  <c r="F91" i="2"/>
  <c r="E91" i="2"/>
  <c r="G87" i="2"/>
  <c r="G81" i="2"/>
  <c r="F81" i="2"/>
  <c r="G77" i="2"/>
  <c r="F77" i="2"/>
  <c r="E77" i="2"/>
  <c r="G74" i="2"/>
  <c r="F74" i="2"/>
  <c r="E74" i="2"/>
  <c r="G68" i="2"/>
  <c r="F68" i="2"/>
  <c r="E68" i="2"/>
  <c r="G65" i="2"/>
  <c r="F65" i="2"/>
  <c r="E65" i="2"/>
  <c r="G61" i="2"/>
  <c r="F61" i="2"/>
  <c r="E61" i="2"/>
  <c r="F59" i="2"/>
  <c r="E59" i="2"/>
  <c r="G55" i="2"/>
  <c r="F55" i="2"/>
  <c r="E55" i="2"/>
  <c r="G42" i="2"/>
  <c r="G41" i="2" s="1"/>
  <c r="G45" i="2" s="1"/>
  <c r="F42" i="2"/>
  <c r="F41" i="2" s="1"/>
  <c r="E42" i="2"/>
  <c r="E41" i="2" s="1"/>
  <c r="E45" i="2" s="1"/>
  <c r="G38" i="2"/>
  <c r="G37" i="2" s="1"/>
  <c r="G40" i="2" s="1"/>
  <c r="F38" i="2"/>
  <c r="F37" i="2" s="1"/>
  <c r="E38" i="2"/>
  <c r="E37" i="2" s="1"/>
  <c r="E40" i="2" s="1"/>
  <c r="G33" i="2"/>
  <c r="G36" i="2" s="1"/>
  <c r="G31" i="2"/>
  <c r="G35" i="2" s="1"/>
  <c r="F31" i="2"/>
  <c r="F30" i="2" s="1"/>
  <c r="E31" i="2"/>
  <c r="E30" i="2" s="1"/>
  <c r="E35" i="2" s="1"/>
  <c r="G27" i="2"/>
  <c r="G26" i="2" s="1"/>
  <c r="G29" i="2" s="1"/>
  <c r="F27" i="2"/>
  <c r="F26" i="2" s="1"/>
  <c r="E27" i="2"/>
  <c r="E26" i="2" s="1"/>
  <c r="E29" i="2" s="1"/>
  <c r="F23" i="2"/>
  <c r="F22" i="2" s="1"/>
  <c r="E23" i="2"/>
  <c r="E22" i="2" s="1"/>
  <c r="E25" i="2" s="1"/>
  <c r="F18" i="2"/>
  <c r="F17" i="2" s="1"/>
  <c r="E18" i="2"/>
  <c r="E17" i="2" s="1"/>
  <c r="E21" i="2" s="1"/>
  <c r="E193" i="2" l="1"/>
  <c r="E198" i="2" s="1"/>
  <c r="G30" i="2"/>
  <c r="G16" i="2" s="1"/>
  <c r="E64" i="2"/>
  <c r="E70" i="2" s="1"/>
  <c r="G64" i="2"/>
  <c r="G70" i="2" s="1"/>
  <c r="F183" i="2"/>
  <c r="F193" i="2"/>
  <c r="F64" i="2"/>
  <c r="F73" i="2"/>
  <c r="G172" i="2"/>
  <c r="F152" i="2"/>
  <c r="F54" i="2"/>
  <c r="F53" i="2" s="1"/>
  <c r="E113" i="2"/>
  <c r="E125" i="2" s="1"/>
  <c r="E152" i="2"/>
  <c r="E170" i="2" s="1"/>
  <c r="G223" i="2"/>
  <c r="G54" i="2"/>
  <c r="G63" i="2" s="1"/>
  <c r="F80" i="2"/>
  <c r="G144" i="2"/>
  <c r="G143" i="2" s="1"/>
  <c r="G151" i="2" s="1"/>
  <c r="E201" i="2"/>
  <c r="G214" i="2"/>
  <c r="F16" i="2"/>
  <c r="F143" i="2"/>
  <c r="F201" i="2"/>
  <c r="F200" i="2" s="1"/>
  <c r="E54" i="2"/>
  <c r="G80" i="2"/>
  <c r="G93" i="2" s="1"/>
  <c r="E80" i="2"/>
  <c r="E93" i="2" s="1"/>
  <c r="G113" i="2"/>
  <c r="G125" i="2" s="1"/>
  <c r="G152" i="2"/>
  <c r="G170" i="2" s="1"/>
  <c r="E183" i="2"/>
  <c r="G183" i="2"/>
  <c r="G193" i="2"/>
  <c r="G198" i="2" s="1"/>
  <c r="F46" i="2"/>
  <c r="F102" i="2"/>
  <c r="E73" i="2"/>
  <c r="E79" i="2" s="1"/>
  <c r="G73" i="2"/>
  <c r="G79" i="2" s="1"/>
  <c r="E102" i="2"/>
  <c r="F113" i="2"/>
  <c r="F172" i="2"/>
  <c r="F171" i="2" s="1"/>
  <c r="E172" i="2"/>
  <c r="E171" i="2" s="1"/>
  <c r="E180" i="2" s="1"/>
  <c r="G171" i="2"/>
  <c r="G207" i="2"/>
  <c r="G244" i="2"/>
  <c r="G234" i="2"/>
  <c r="E16" i="2"/>
  <c r="E46" i="2"/>
  <c r="G103" i="2"/>
  <c r="G102" i="2" s="1"/>
  <c r="G138" i="2"/>
  <c r="G137" i="2" s="1"/>
  <c r="G136" i="2" s="1"/>
  <c r="G140" i="2" s="1"/>
  <c r="F182" i="2" l="1"/>
  <c r="E182" i="2"/>
  <c r="E192" i="2"/>
  <c r="E101" i="2"/>
  <c r="E112" i="2"/>
  <c r="E142" i="2"/>
  <c r="F72" i="2"/>
  <c r="E200" i="2"/>
  <c r="E227" i="2"/>
  <c r="E53" i="2"/>
  <c r="E63" i="2"/>
  <c r="G72" i="2"/>
  <c r="F142" i="2"/>
  <c r="G53" i="2"/>
  <c r="G180" i="2"/>
  <c r="E72" i="2"/>
  <c r="G201" i="2"/>
  <c r="G200" i="2" s="1"/>
  <c r="G182" i="2"/>
  <c r="G192" i="2"/>
  <c r="G142" i="2"/>
  <c r="F101" i="2"/>
  <c r="G46" i="2"/>
  <c r="G21" i="2"/>
  <c r="G112" i="2"/>
  <c r="G101" i="2"/>
  <c r="F246" i="2" l="1"/>
  <c r="E246" i="2"/>
  <c r="G246" i="2"/>
  <c r="G227" i="2"/>
</calcChain>
</file>

<file path=xl/sharedStrings.xml><?xml version="1.0" encoding="utf-8"?>
<sst xmlns="http://schemas.openxmlformats.org/spreadsheetml/2006/main" count="245" uniqueCount="122">
  <si>
    <t>PRIHODI POSLOVANJA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</si>
  <si>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</si>
  <si>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</si>
  <si>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</si>
  <si>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</si>
  <si>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</si>
  <si>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</si>
  <si>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</si>
  <si>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</si>
  <si>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</si>
  <si>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</si>
  <si>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</si>
  <si>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I. OPĆI DIO</t>
  </si>
  <si>
    <t>Materijalni rashodi</t>
  </si>
  <si>
    <t>Vlastiti prihodi</t>
  </si>
  <si>
    <t>Plan za 2023.</t>
  </si>
  <si>
    <t>Pomoći iz inozemstva i od subjekata unutar općeg proračuna</t>
  </si>
  <si>
    <t>Ostale pomoći</t>
  </si>
  <si>
    <t>Ostali prihodi za posebne namjene</t>
  </si>
  <si>
    <t>Prihodi od upravnih i adminis-
trativnih pristojbi, pristojbi po
posebnim propisima i naknada</t>
  </si>
  <si>
    <t>Vlastiti i ostali prihodi</t>
  </si>
  <si>
    <t>Prihodi iz nadležnog proračuna i od HZZO-a temeljem ugovornih obveza</t>
  </si>
  <si>
    <t>Pomoći EU-prihodi ostvareni
od inozemnih vlada i među-
narodnih organizacija i tijela
EU</t>
  </si>
  <si>
    <t>Pomoći EU</t>
  </si>
  <si>
    <t>Decentralizirana sredstva</t>
  </si>
  <si>
    <t>Donacije</t>
  </si>
  <si>
    <t>Prihodi od prodaje proizvoda i
robe te pruženih usluga i pri-
hodi od donacija</t>
  </si>
  <si>
    <t>Ostali prihodi za pos.namjene</t>
  </si>
  <si>
    <t>Financijski rashodi</t>
  </si>
  <si>
    <t>Naknade građanima i kućans
tvima natemelju osiguranja
i druge naknade</t>
  </si>
  <si>
    <t>Rashodi za nabavu proizve-
dene dug.imovine</t>
  </si>
  <si>
    <t>Ukupno rashodi</t>
  </si>
  <si>
    <t>Tekuće pomoći pror.kor.</t>
  </si>
  <si>
    <t>Kapitalne pomoći pror.kor.</t>
  </si>
  <si>
    <t>Pomoći temeljem prijenosa
EU sredstava</t>
  </si>
  <si>
    <t>Tekuće pomoći tem.prij.
EU sredstava</t>
  </si>
  <si>
    <t>Prihodi po posebnim prop.</t>
  </si>
  <si>
    <t>Ostali nespomenuti prihodi</t>
  </si>
  <si>
    <t>Prihodi od prodaje proiz.te
pruženih usluga</t>
  </si>
  <si>
    <t>prihodi od pruž.usluga</t>
  </si>
  <si>
    <t>Prihodi iz nadležnog proračuna za fina.rash.poslov.</t>
  </si>
  <si>
    <t xml:space="preserve">Prihodi iz nadležnog prorač.
za financ.red,dj.pr.korisnika
</t>
  </si>
  <si>
    <t>Donacije od pravnih i fizičkih 
osobaopćeg proračuna</t>
  </si>
  <si>
    <t>Tekuće donacije</t>
  </si>
  <si>
    <t>Sveukupno prihodi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</si>
  <si>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</si>
  <si>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</si>
  <si>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</si>
  <si>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</si>
  <si>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</si>
  <si>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</si>
  <si>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 za obvezno ZO</t>
  </si>
  <si>
    <t>Ostali nespomenuti rashodi
poslovanja</t>
  </si>
  <si>
    <t>Naknade za rad predstavnič.
tijela ,povjerenstava i slično</t>
  </si>
  <si>
    <t>Rashodi za materijal i energ.</t>
  </si>
  <si>
    <t>Uredski mater.i ostali mat.r.</t>
  </si>
  <si>
    <t>Materijal i sirovine</t>
  </si>
  <si>
    <t>Materijal i dijelovi za tekuće
i investicijsko održavanje</t>
  </si>
  <si>
    <t>Sitni inventar i autogume</t>
  </si>
  <si>
    <t>Službena, radna i zaštitna 
odjeća i obuća</t>
  </si>
  <si>
    <t>Rashodi za usluge</t>
  </si>
  <si>
    <t>Usluge tekućeg i inv.održ.</t>
  </si>
  <si>
    <t>Komunalne usluge</t>
  </si>
  <si>
    <t>Ostale usluge</t>
  </si>
  <si>
    <t>Naknade troškova zaposlen.</t>
  </si>
  <si>
    <t>Službena putovanja</t>
  </si>
  <si>
    <t>Zdravstvene i veter.usluge</t>
  </si>
  <si>
    <t>Naknade za prijevoz,rad na 
terenu i odvojeni život</t>
  </si>
  <si>
    <t>Stručno usavršavanje zapos.</t>
  </si>
  <si>
    <t>Ostale naknade troškova
zaposlenima</t>
  </si>
  <si>
    <t>Energija</t>
  </si>
  <si>
    <t>Usluge telefona,pošte i
prijevoza</t>
  </si>
  <si>
    <t>Intelektualne i osobne usluge</t>
  </si>
  <si>
    <t>Računalne usluge</t>
  </si>
  <si>
    <t>Članarine</t>
  </si>
  <si>
    <t>Bankarske usluge i usluge
platnog prometa</t>
  </si>
  <si>
    <t>Zatezne kamate</t>
  </si>
  <si>
    <t>Naknade građanima i kućanstvima</t>
  </si>
  <si>
    <t xml:space="preserve">Ostale naknade građanima i kućan.iz proračuna
</t>
  </si>
  <si>
    <t>Naknada za prij.na posao</t>
  </si>
  <si>
    <t>Pristojbe i naknade</t>
  </si>
  <si>
    <t>Ostale pristojbei naknade</t>
  </si>
  <si>
    <t>Troškovi sudskih postupaka</t>
  </si>
  <si>
    <t>Rashodi zanabavu proizvedene
dugotrajneimovine</t>
  </si>
  <si>
    <t>Postrojenje i oprema</t>
  </si>
  <si>
    <t>Uredska oprema i namještaj</t>
  </si>
  <si>
    <t>Oprema za grij.ventilaciju i  hlađenje</t>
  </si>
  <si>
    <t>Glazeni instrumenti i oprema</t>
  </si>
  <si>
    <t>Komunikacijska oprema</t>
  </si>
  <si>
    <t>Knjige za knjižnicu</t>
  </si>
  <si>
    <t>Knjige,umjetničkadjela
i ostale izložb.vrijednosti</t>
  </si>
  <si>
    <t>Knjige</t>
  </si>
  <si>
    <t>Uređaji,strojevi i oprema</t>
  </si>
  <si>
    <t>Prihodi za posebne namjene
-višak</t>
  </si>
  <si>
    <t>Rashodizanabavu nefinanc.
Imovine</t>
  </si>
  <si>
    <t>Rebalans 2023</t>
  </si>
  <si>
    <t>Prihodi iz žup. pror. za fin. rashoda za nabavu nefin. imov.</t>
  </si>
  <si>
    <t>Ostali financijski rashodi</t>
  </si>
  <si>
    <t>Rashodi za nabavu nefinanc.
Imovine</t>
  </si>
  <si>
    <t>Plaće po sudskim presudama</t>
  </si>
  <si>
    <t>Topli obrok asistenti</t>
  </si>
  <si>
    <t>Rashodi za dodatna ulaganja na nefinacijskoj imovini</t>
  </si>
  <si>
    <t>Dodatna ulaganjana građ. Objektima</t>
  </si>
  <si>
    <t>Menstr. higij. potr.</t>
  </si>
  <si>
    <t>Uređaji</t>
  </si>
  <si>
    <t>Pomoći pror.kor.iz pr.koji im
nije nadležan</t>
  </si>
  <si>
    <t>Prihodi za posebne namjene
- višak</t>
  </si>
  <si>
    <t>Naknade za prijevoz, rad na 
terenu i odvojeni život</t>
  </si>
  <si>
    <t>Uredski mater. i ostali mat.r.</t>
  </si>
  <si>
    <t>Usluge promid.i informiranja</t>
  </si>
  <si>
    <t>Izvršenje 2022.</t>
  </si>
  <si>
    <t>IZMJENE FINANCIJSKOG PLANA PRORAČUNSKOG KORISNIKA JEDINICE LOKALNE I PODRUČNE (REGIONALNE) SAMOUPRAVE 
OSNOVNE ŠKOLE SELNICA  ZA 2023. I PROJEKCIJA ZA 2024. I 2025. GODINU</t>
  </si>
  <si>
    <t>OSNOVNA ŠKOLA SELNICA</t>
  </si>
  <si>
    <t>Selnica, 29. 12. 2023.</t>
  </si>
  <si>
    <t>KLASA:  400-02/23-01/01</t>
  </si>
  <si>
    <t>URBROJ: 2109-12-23-2</t>
  </si>
  <si>
    <t>Sastavio</t>
  </si>
  <si>
    <t>Predsjednica školskog odbora</t>
  </si>
  <si>
    <t>Ravnateljica</t>
  </si>
  <si>
    <t>Željko Zadravec</t>
  </si>
  <si>
    <t>Tanja Perhoč</t>
  </si>
  <si>
    <t>Bernarda Tkalčec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</si>
</sst>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1" xfId="0" quotePrefix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/>
    </xf>
    <xf numFmtId="4" fontId="0" fillId="0" borderId="0" xfId="0" applyNumberFormat="1"/>
    <xf numFmtId="0" fontId="2" fillId="2" borderId="1" xfId="0" quotePrefix="1" applyFont="1" applyFill="1" applyBorder="1" applyAlignment="1">
      <alignment horizontal="left" vertical="top" wrapText="1"/>
    </xf>
    <xf numFmtId="0" fontId="1" fillId="3" borderId="1" xfId="0" quotePrefix="1" applyFont="1" applyFill="1" applyBorder="1" applyAlignment="1">
      <alignment horizontal="left" vertical="center"/>
    </xf>
    <xf numFmtId="0" fontId="2" fillId="3" borderId="1" xfId="0" quotePrefix="1" applyFont="1" applyFill="1" applyBorder="1" applyAlignment="1">
      <alignment horizontal="left" vertical="center"/>
    </xf>
    <xf numFmtId="0" fontId="2" fillId="3" borderId="1" xfId="0" quotePrefix="1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 wrapText="1"/>
    </xf>
    <xf numFmtId="0" fontId="1" fillId="4" borderId="1" xfId="0" quotePrefix="1" applyFont="1" applyFill="1" applyBorder="1" applyAlignment="1">
      <alignment horizontal="left" vertical="center"/>
    </xf>
    <xf numFmtId="0" fontId="2" fillId="4" borderId="1" xfId="0" quotePrefix="1" applyFont="1" applyFill="1" applyBorder="1" applyAlignment="1">
      <alignment horizontal="left" vertical="center"/>
    </xf>
    <xf numFmtId="0" fontId="4" fillId="3" borderId="1" xfId="0" quotePrefix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left" vertical="center" wrapText="1"/>
    </xf>
    <xf numFmtId="0" fontId="1" fillId="3" borderId="12" xfId="0" quotePrefix="1" applyFont="1" applyFill="1" applyBorder="1" applyAlignment="1">
      <alignment horizontal="left" vertical="center"/>
    </xf>
    <xf numFmtId="0" fontId="1" fillId="3" borderId="13" xfId="0" quotePrefix="1" applyFont="1" applyFill="1" applyBorder="1" applyAlignment="1">
      <alignment horizontal="left" vertical="center"/>
    </xf>
    <xf numFmtId="0" fontId="4" fillId="3" borderId="13" xfId="0" quotePrefix="1" applyFont="1" applyFill="1" applyBorder="1" applyAlignment="1">
      <alignment horizontal="left" vertical="center"/>
    </xf>
    <xf numFmtId="0" fontId="1" fillId="2" borderId="5" xfId="0" quotePrefix="1" applyFont="1" applyFill="1" applyBorder="1" applyAlignment="1">
      <alignment horizontal="left" vertical="center"/>
    </xf>
    <xf numFmtId="0" fontId="1" fillId="2" borderId="6" xfId="0" quotePrefix="1" applyFont="1" applyFill="1" applyBorder="1" applyAlignment="1">
      <alignment horizontal="left" vertical="center"/>
    </xf>
    <xf numFmtId="0" fontId="2" fillId="2" borderId="6" xfId="0" quotePrefix="1" applyFont="1" applyFill="1" applyBorder="1" applyAlignment="1">
      <alignment horizontal="left" vertical="center"/>
    </xf>
    <xf numFmtId="0" fontId="2" fillId="2" borderId="6" xfId="0" quotePrefix="1" applyFont="1" applyFill="1" applyBorder="1" applyAlignment="1">
      <alignment horizontal="left" vertical="center" wrapText="1"/>
    </xf>
    <xf numFmtId="0" fontId="1" fillId="2" borderId="9" xfId="0" quotePrefix="1" applyFont="1" applyFill="1" applyBorder="1" applyAlignment="1">
      <alignment horizontal="left" vertical="center"/>
    </xf>
    <xf numFmtId="0" fontId="4" fillId="3" borderId="13" xfId="0" quotePrefix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3" fillId="2" borderId="6" xfId="0" quotePrefix="1" applyFont="1" applyFill="1" applyBorder="1" applyAlignment="1">
      <alignment horizontal="left" vertical="center"/>
    </xf>
    <xf numFmtId="0" fontId="2" fillId="2" borderId="6" xfId="0" quotePrefix="1" applyFont="1" applyFill="1" applyBorder="1" applyAlignment="1">
      <alignment horizontal="left" vertical="top" wrapText="1"/>
    </xf>
    <xf numFmtId="0" fontId="3" fillId="3" borderId="13" xfId="0" quotePrefix="1" applyFont="1" applyFill="1" applyBorder="1" applyAlignment="1">
      <alignment horizontal="left" vertical="center"/>
    </xf>
    <xf numFmtId="0" fontId="2" fillId="3" borderId="13" xfId="0" quotePrefix="1" applyFont="1" applyFill="1" applyBorder="1" applyAlignment="1">
      <alignment horizontal="left" vertical="center"/>
    </xf>
    <xf numFmtId="0" fontId="4" fillId="3" borderId="13" xfId="0" quotePrefix="1" applyFont="1" applyFill="1" applyBorder="1" applyAlignment="1">
      <alignment horizontal="left" vertical="top" wrapText="1"/>
    </xf>
    <xf numFmtId="0" fontId="1" fillId="3" borderId="9" xfId="0" quotePrefix="1" applyFont="1" applyFill="1" applyBorder="1" applyAlignment="1">
      <alignment horizontal="left" vertical="center"/>
    </xf>
    <xf numFmtId="0" fontId="4" fillId="3" borderId="1" xfId="0" quotePrefix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3" borderId="12" xfId="0" quotePrefix="1" applyFont="1" applyFill="1" applyBorder="1" applyAlignment="1">
      <alignment horizontal="left" vertical="center"/>
    </xf>
    <xf numFmtId="0" fontId="3" fillId="4" borderId="5" xfId="0" applyNumberFormat="1" applyFont="1" applyFill="1" applyBorder="1" applyAlignment="1" applyProtection="1">
      <alignment horizontal="left" vertical="center" wrapText="1"/>
    </xf>
    <xf numFmtId="0" fontId="1" fillId="4" borderId="6" xfId="0" applyNumberFormat="1" applyFont="1" applyFill="1" applyBorder="1" applyAlignment="1" applyProtection="1">
      <alignment horizontal="left" vertical="center" wrapText="1"/>
    </xf>
    <xf numFmtId="0" fontId="1" fillId="4" borderId="5" xfId="0" quotePrefix="1" applyFont="1" applyFill="1" applyBorder="1" applyAlignment="1">
      <alignment horizontal="left" vertical="center"/>
    </xf>
    <xf numFmtId="0" fontId="1" fillId="4" borderId="6" xfId="0" quotePrefix="1" applyFont="1" applyFill="1" applyBorder="1" applyAlignment="1">
      <alignment horizontal="left" vertical="center"/>
    </xf>
    <xf numFmtId="0" fontId="2" fillId="4" borderId="6" xfId="0" quotePrefix="1" applyFont="1" applyFill="1" applyBorder="1" applyAlignment="1">
      <alignment horizontal="left" vertical="center"/>
    </xf>
    <xf numFmtId="0" fontId="1" fillId="3" borderId="13" xfId="0" applyNumberFormat="1" applyFont="1" applyFill="1" applyBorder="1" applyAlignment="1" applyProtection="1">
      <alignment horizontal="left" vertical="center" wrapText="1"/>
    </xf>
    <xf numFmtId="0" fontId="1" fillId="3" borderId="5" xfId="0" quotePrefix="1" applyFont="1" applyFill="1" applyBorder="1" applyAlignment="1">
      <alignment horizontal="left" vertical="center"/>
    </xf>
    <xf numFmtId="0" fontId="1" fillId="3" borderId="6" xfId="0" quotePrefix="1" applyFont="1" applyFill="1" applyBorder="1" applyAlignment="1">
      <alignment horizontal="left" vertical="center"/>
    </xf>
    <xf numFmtId="0" fontId="2" fillId="3" borderId="6" xfId="0" quotePrefix="1" applyFont="1" applyFill="1" applyBorder="1" applyAlignment="1">
      <alignment horizontal="left" vertical="center"/>
    </xf>
    <xf numFmtId="0" fontId="2" fillId="3" borderId="6" xfId="0" quotePrefix="1" applyFont="1" applyFill="1" applyBorder="1" applyAlignment="1">
      <alignment horizontal="left" vertical="center" wrapText="1"/>
    </xf>
    <xf numFmtId="0" fontId="3" fillId="4" borderId="5" xfId="0" quotePrefix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2" borderId="0" xfId="0" quotePrefix="1" applyFont="1" applyFill="1" applyBorder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1" fillId="2" borderId="3" xfId="0" quotePrefix="1" applyFont="1" applyFill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right"/>
    </xf>
    <xf numFmtId="4" fontId="3" fillId="4" borderId="8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/>
    <xf numFmtId="4" fontId="5" fillId="2" borderId="1" xfId="0" applyNumberFormat="1" applyFont="1" applyFill="1" applyBorder="1"/>
    <xf numFmtId="4" fontId="5" fillId="0" borderId="0" xfId="0" applyNumberFormat="1" applyFont="1"/>
    <xf numFmtId="4" fontId="1" fillId="2" borderId="10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right"/>
    </xf>
    <xf numFmtId="4" fontId="3" fillId="3" borderId="14" xfId="0" applyNumberFormat="1" applyFont="1" applyFill="1" applyBorder="1" applyAlignment="1">
      <alignment horizontal="right"/>
    </xf>
    <xf numFmtId="4" fontId="5" fillId="2" borderId="11" xfId="0" applyNumberFormat="1" applyFont="1" applyFill="1" applyBorder="1"/>
    <xf numFmtId="4" fontId="5" fillId="3" borderId="16" xfId="0" applyNumberFormat="1" applyFont="1" applyFill="1" applyBorder="1"/>
    <xf numFmtId="4" fontId="6" fillId="4" borderId="11" xfId="0" applyNumberFormat="1" applyFont="1" applyFill="1" applyBorder="1"/>
    <xf numFmtId="4" fontId="3" fillId="3" borderId="8" xfId="0" applyNumberFormat="1" applyFont="1" applyFill="1" applyBorder="1" applyAlignment="1">
      <alignment horizontal="right"/>
    </xf>
    <xf numFmtId="4" fontId="1" fillId="3" borderId="11" xfId="0" applyNumberFormat="1" applyFont="1" applyFill="1" applyBorder="1" applyAlignment="1">
      <alignment horizontal="right"/>
    </xf>
    <xf numFmtId="4" fontId="5" fillId="3" borderId="1" xfId="0" applyNumberFormat="1" applyFont="1" applyFill="1" applyBorder="1"/>
    <xf numFmtId="4" fontId="1" fillId="2" borderId="11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3" borderId="14" xfId="0" applyNumberFormat="1" applyFont="1" applyFill="1" applyBorder="1" applyAlignment="1">
      <alignment horizontal="right"/>
    </xf>
    <xf numFmtId="0" fontId="3" fillId="3" borderId="18" xfId="0" quotePrefix="1" applyFont="1" applyFill="1" applyBorder="1" applyAlignment="1">
      <alignment horizontal="left" vertical="center"/>
    </xf>
    <xf numFmtId="0" fontId="3" fillId="3" borderId="19" xfId="0" quotePrefix="1" applyFont="1" applyFill="1" applyBorder="1" applyAlignment="1">
      <alignment horizontal="left" vertical="center"/>
    </xf>
    <xf numFmtId="0" fontId="4" fillId="3" borderId="19" xfId="0" quotePrefix="1" applyFont="1" applyFill="1" applyBorder="1" applyAlignment="1">
      <alignment horizontal="left" vertical="center"/>
    </xf>
    <xf numFmtId="4" fontId="3" fillId="3" borderId="17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9" xfId="0" applyNumberFormat="1" applyFont="1" applyFill="1" applyBorder="1" applyAlignment="1" applyProtection="1">
      <alignment horizontal="left" vertical="center" wrapText="1"/>
    </xf>
    <xf numFmtId="4" fontId="3" fillId="3" borderId="21" xfId="0" applyNumberFormat="1" applyFont="1" applyFill="1" applyBorder="1" applyAlignment="1" applyProtection="1">
      <alignment horizontal="center" vertical="center" wrapText="1"/>
    </xf>
    <xf numFmtId="0" fontId="1" fillId="3" borderId="18" xfId="0" quotePrefix="1" applyFont="1" applyFill="1" applyBorder="1" applyAlignment="1">
      <alignment horizontal="left" vertical="center"/>
    </xf>
    <xf numFmtId="0" fontId="1" fillId="3" borderId="19" xfId="0" quotePrefix="1" applyFont="1" applyFill="1" applyBorder="1" applyAlignment="1">
      <alignment horizontal="left" vertical="center"/>
    </xf>
    <xf numFmtId="0" fontId="2" fillId="3" borderId="19" xfId="0" quotePrefix="1" applyFont="1" applyFill="1" applyBorder="1" applyAlignment="1">
      <alignment horizontal="left" vertical="center"/>
    </xf>
    <xf numFmtId="4" fontId="3" fillId="2" borderId="10" xfId="0" applyNumberFormat="1" applyFont="1" applyFill="1" applyBorder="1" applyAlignment="1">
      <alignment horizontal="right"/>
    </xf>
    <xf numFmtId="0" fontId="3" fillId="4" borderId="6" xfId="0" quotePrefix="1" applyFont="1" applyFill="1" applyBorder="1" applyAlignment="1">
      <alignment horizontal="left" vertical="center"/>
    </xf>
    <xf numFmtId="0" fontId="4" fillId="4" borderId="6" xfId="0" quotePrefix="1" applyFont="1" applyFill="1" applyBorder="1" applyAlignment="1">
      <alignment horizontal="left" vertical="center"/>
    </xf>
    <xf numFmtId="4" fontId="1" fillId="4" borderId="8" xfId="0" applyNumberFormat="1" applyFont="1" applyFill="1" applyBorder="1" applyAlignment="1">
      <alignment horizontal="right"/>
    </xf>
    <xf numFmtId="0" fontId="2" fillId="4" borderId="6" xfId="0" quotePrefix="1" applyFont="1" applyFill="1" applyBorder="1" applyAlignment="1">
      <alignment horizontal="left" vertical="center" wrapText="1"/>
    </xf>
    <xf numFmtId="0" fontId="1" fillId="2" borderId="15" xfId="0" quotePrefix="1" applyFont="1" applyFill="1" applyBorder="1" applyAlignment="1">
      <alignment horizontal="left" vertical="center"/>
    </xf>
    <xf numFmtId="4" fontId="1" fillId="2" borderId="16" xfId="0" applyNumberFormat="1" applyFont="1" applyFill="1" applyBorder="1" applyAlignment="1">
      <alignment horizontal="right"/>
    </xf>
    <xf numFmtId="0" fontId="2" fillId="3" borderId="13" xfId="0" quotePrefix="1" applyFont="1" applyFill="1" applyBorder="1" applyAlignment="1">
      <alignment horizontal="left" vertical="center" wrapText="1"/>
    </xf>
    <xf numFmtId="4" fontId="1" fillId="4" borderId="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2" fillId="2" borderId="3" xfId="0" quotePrefix="1" applyFont="1" applyFill="1" applyBorder="1" applyAlignment="1">
      <alignment horizontal="left" vertical="center"/>
    </xf>
    <xf numFmtId="0" fontId="2" fillId="2" borderId="3" xfId="0" quotePrefix="1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0" fontId="3" fillId="3" borderId="6" xfId="0" quotePrefix="1" applyFont="1" applyFill="1" applyBorder="1" applyAlignment="1">
      <alignment horizontal="left" vertical="center"/>
    </xf>
    <xf numFmtId="4" fontId="5" fillId="4" borderId="11" xfId="0" applyNumberFormat="1" applyFont="1" applyFill="1" applyBorder="1"/>
    <xf numFmtId="4" fontId="6" fillId="3" borderId="14" xfId="0" applyNumberFormat="1" applyFont="1" applyFill="1" applyBorder="1"/>
    <xf numFmtId="4" fontId="6" fillId="3" borderId="21" xfId="0" applyNumberFormat="1" applyFont="1" applyFill="1" applyBorder="1"/>
    <xf numFmtId="4" fontId="3" fillId="4" borderId="22" xfId="0" applyNumberFormat="1" applyFont="1" applyFill="1" applyBorder="1" applyAlignment="1">
      <alignment horizontal="right"/>
    </xf>
    <xf numFmtId="4" fontId="5" fillId="2" borderId="22" xfId="0" applyNumberFormat="1" applyFont="1" applyFill="1" applyBorder="1"/>
    <xf numFmtId="4" fontId="5" fillId="3" borderId="11" xfId="0" applyNumberFormat="1" applyFont="1" applyFill="1" applyBorder="1"/>
    <xf numFmtId="4" fontId="6" fillId="0" borderId="21" xfId="0" applyNumberFormat="1" applyFont="1" applyBorder="1"/>
    <xf numFmtId="4" fontId="1" fillId="3" borderId="8" xfId="0" applyNumberFormat="1" applyFont="1" applyFill="1" applyBorder="1" applyAlignment="1">
      <alignment horizontal="right"/>
    </xf>
    <xf numFmtId="4" fontId="5" fillId="2" borderId="14" xfId="0" applyNumberFormat="1" applyFont="1" applyFill="1" applyBorder="1"/>
    <xf numFmtId="4" fontId="3" fillId="3" borderId="22" xfId="0" applyNumberFormat="1" applyFont="1" applyFill="1" applyBorder="1" applyAlignment="1">
      <alignment horizontal="right"/>
    </xf>
    <xf numFmtId="0" fontId="1" fillId="4" borderId="9" xfId="0" quotePrefix="1" applyFont="1" applyFill="1" applyBorder="1" applyAlignment="1">
      <alignment horizontal="left" vertical="center"/>
    </xf>
    <xf numFmtId="4" fontId="3" fillId="4" borderId="10" xfId="0" applyNumberFormat="1" applyFont="1" applyFill="1" applyBorder="1" applyAlignment="1">
      <alignment horizontal="right"/>
    </xf>
    <xf numFmtId="0" fontId="1" fillId="2" borderId="12" xfId="0" quotePrefix="1" applyFont="1" applyFill="1" applyBorder="1" applyAlignment="1">
      <alignment horizontal="left" vertical="center"/>
    </xf>
    <xf numFmtId="0" fontId="1" fillId="2" borderId="13" xfId="0" quotePrefix="1" applyFont="1" applyFill="1" applyBorder="1" applyAlignment="1">
      <alignment horizontal="left" vertical="center"/>
    </xf>
    <xf numFmtId="0" fontId="2" fillId="2" borderId="13" xfId="0" quotePrefix="1" applyFont="1" applyFill="1" applyBorder="1" applyAlignment="1">
      <alignment horizontal="left" vertical="center"/>
    </xf>
    <xf numFmtId="0" fontId="2" fillId="2" borderId="13" xfId="0" quotePrefix="1" applyFont="1" applyFill="1" applyBorder="1" applyAlignment="1">
      <alignment horizontal="left" vertical="center" wrapText="1"/>
    </xf>
    <xf numFmtId="4" fontId="1" fillId="2" borderId="14" xfId="0" applyNumberFormat="1" applyFont="1" applyFill="1" applyBorder="1" applyAlignment="1">
      <alignment horizontal="right"/>
    </xf>
    <xf numFmtId="4" fontId="6" fillId="3" borderId="17" xfId="0" applyNumberFormat="1" applyFont="1" applyFill="1" applyBorder="1"/>
    <xf numFmtId="4" fontId="6" fillId="2" borderId="21" xfId="0" applyNumberFormat="1" applyFont="1" applyFill="1" applyBorder="1"/>
    <xf numFmtId="4" fontId="1" fillId="2" borderId="7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 vertical="center"/>
    </xf>
    <xf numFmtId="4" fontId="6" fillId="2" borderId="19" xfId="0" applyNumberFormat="1" applyFont="1" applyFill="1" applyBorder="1"/>
    <xf numFmtId="4" fontId="1" fillId="3" borderId="13" xfId="0" applyNumberFormat="1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4" fontId="5" fillId="3" borderId="13" xfId="0" applyNumberFormat="1" applyFont="1" applyFill="1" applyBorder="1"/>
    <xf numFmtId="4" fontId="1" fillId="3" borderId="20" xfId="0" applyNumberFormat="1" applyFont="1" applyFill="1" applyBorder="1" applyAlignment="1">
      <alignment horizontal="right"/>
    </xf>
    <xf numFmtId="4" fontId="6" fillId="3" borderId="19" xfId="0" applyNumberFormat="1" applyFont="1" applyFill="1" applyBorder="1"/>
    <xf numFmtId="4" fontId="6" fillId="3" borderId="20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/>
    </xf>
    <xf numFmtId="0" fontId="5" fillId="2" borderId="18" xfId="0" applyFont="1" applyFill="1" applyBorder="1"/>
    <xf numFmtId="0" fontId="5" fillId="2" borderId="19" xfId="0" applyFont="1" applyFill="1" applyBorder="1"/>
    <xf numFmtId="0" fontId="6" fillId="2" borderId="19" xfId="0" applyFont="1" applyFill="1" applyBorder="1"/>
    <xf numFmtId="0" fontId="7" fillId="0" borderId="0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4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3" fontId="1" fillId="2" borderId="2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/>
    <xf numFmtId="0" fontId="5" fillId="4" borderId="9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2" borderId="9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4" fontId="9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/>
    <xf numFmtId="4" fontId="5" fillId="2" borderId="0" xfId="0" applyNumberFormat="1" applyFont="1" applyFill="1" applyBorder="1"/>
    <xf numFmtId="4" fontId="10" fillId="2" borderId="0" xfId="0" applyNumberFormat="1" applyFont="1" applyFill="1" applyBorder="1" applyAlignment="1">
      <alignment vertical="center" wrapText="1"/>
    </xf>
    <xf numFmtId="0" fontId="6" fillId="3" borderId="18" xfId="0" applyFont="1" applyFill="1" applyBorder="1"/>
    <xf numFmtId="0" fontId="6" fillId="3" borderId="19" xfId="0" applyFont="1" applyFill="1" applyBorder="1"/>
    <xf numFmtId="4" fontId="1" fillId="4" borderId="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/>
    <xf numFmtId="0" fontId="5" fillId="2" borderId="15" xfId="0" applyFont="1" applyFill="1" applyBorder="1"/>
    <xf numFmtId="0" fontId="5" fillId="2" borderId="3" xfId="0" applyFont="1" applyFill="1" applyBorder="1"/>
    <xf numFmtId="4" fontId="5" fillId="3" borderId="3" xfId="0" applyNumberFormat="1" applyFont="1" applyFill="1" applyBorder="1"/>
    <xf numFmtId="2" fontId="5" fillId="3" borderId="3" xfId="0" applyNumberFormat="1" applyFont="1" applyFill="1" applyBorder="1"/>
    <xf numFmtId="0" fontId="5" fillId="3" borderId="13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4" fontId="5" fillId="2" borderId="13" xfId="0" applyNumberFormat="1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wrapText="1"/>
    </xf>
    <xf numFmtId="4" fontId="5" fillId="2" borderId="6" xfId="0" applyNumberFormat="1" applyFont="1" applyFill="1" applyBorder="1"/>
    <xf numFmtId="0" fontId="5" fillId="2" borderId="6" xfId="0" applyFont="1" applyFill="1" applyBorder="1"/>
    <xf numFmtId="0" fontId="5" fillId="3" borderId="9" xfId="0" applyFont="1" applyFill="1" applyBorder="1"/>
    <xf numFmtId="0" fontId="5" fillId="3" borderId="1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6" fillId="0" borderId="19" xfId="0" applyFont="1" applyBorder="1"/>
    <xf numFmtId="4" fontId="6" fillId="0" borderId="19" xfId="0" applyNumberFormat="1" applyFont="1" applyBorder="1"/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" fillId="2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49"/>
  <sheetViews>
    <sheetView tabSelected="1" topLeftCell="A241" workbookViewId="0">
      <selection activeCell="E254" sqref="E254"/>
    </sheetView>
  </sheetViews>
  <sheetFormatPr defaultRowHeight="15" x14ac:dyDescent="0.25"/>
  <cols>
    <col min="1" max="1" width="7.42578125" style="159" bestFit="1" customWidth="1"/>
    <col min="2" max="2" width="8.42578125" style="159" bestFit="1" customWidth="1"/>
    <col min="3" max="3" width="5.42578125" style="159" bestFit="1" customWidth="1"/>
    <col min="4" max="4" width="25.28515625" style="159" customWidth="1"/>
    <col min="5" max="5" width="25.28515625" style="61" customWidth="1"/>
    <col min="6" max="6" width="25.28515625" style="159" customWidth="1"/>
    <col min="7" max="7" width="25.28515625" style="61" customWidth="1"/>
    <col min="8" max="8" width="11.7109375" bestFit="1" customWidth="1"/>
  </cols>
  <sheetData>
    <row r="1" spans="1:7" ht="20.100000000000001" customHeight="1" x14ac:dyDescent="0.25">
      <c r="A1" s="198" t="s">
        <v>112</v>
      </c>
      <c r="B1" s="198"/>
      <c r="C1" s="198"/>
      <c r="D1" s="198"/>
      <c r="E1" s="141"/>
      <c r="F1" s="140"/>
      <c r="G1" s="142"/>
    </row>
    <row r="2" spans="1:7" ht="20.100000000000001" customHeight="1" x14ac:dyDescent="0.25">
      <c r="A2" s="197"/>
      <c r="B2" s="197"/>
      <c r="C2" s="197"/>
      <c r="D2" s="197"/>
      <c r="E2" s="141"/>
      <c r="F2" s="140"/>
      <c r="G2" s="142"/>
    </row>
    <row r="3" spans="1:7" ht="20.100000000000001" customHeight="1" x14ac:dyDescent="0.25">
      <c r="A3" s="199" t="s">
        <v>114</v>
      </c>
      <c r="B3" s="199"/>
      <c r="C3" s="199"/>
      <c r="D3" s="199"/>
      <c r="E3" s="141"/>
      <c r="F3" s="140"/>
      <c r="G3" s="142"/>
    </row>
    <row r="4" spans="1:7" ht="20.100000000000001" customHeight="1" x14ac:dyDescent="0.25">
      <c r="A4" s="199" t="s">
        <v>115</v>
      </c>
      <c r="B4" s="199"/>
      <c r="C4" s="199"/>
      <c r="D4" s="199"/>
      <c r="E4" s="141"/>
      <c r="F4" s="140"/>
      <c r="G4" s="142"/>
    </row>
    <row r="5" spans="1:7" ht="20.100000000000001" customHeight="1" x14ac:dyDescent="0.25">
      <c r="A5" s="199" t="s">
        <v>113</v>
      </c>
      <c r="B5" s="199"/>
      <c r="C5" s="199"/>
      <c r="D5" s="199"/>
      <c r="E5" s="141"/>
      <c r="F5" s="140"/>
      <c r="G5" s="142"/>
    </row>
    <row r="6" spans="1:7" ht="20.100000000000001" customHeight="1" x14ac:dyDescent="0.25">
      <c r="A6" s="140"/>
      <c r="B6" s="140"/>
      <c r="C6" s="140"/>
      <c r="D6" s="140"/>
      <c r="E6" s="141"/>
      <c r="F6" s="140"/>
      <c r="G6" s="142"/>
    </row>
    <row r="7" spans="1:7" ht="61.5" customHeight="1" x14ac:dyDescent="0.25">
      <c r="A7" s="202" t="s">
        <v>111</v>
      </c>
      <c r="B7" s="202"/>
      <c r="C7" s="202"/>
      <c r="D7" s="202"/>
      <c r="E7" s="202"/>
      <c r="F7" s="202"/>
      <c r="G7" s="202"/>
    </row>
    <row r="8" spans="1:7" ht="20.100000000000001" customHeight="1" x14ac:dyDescent="0.25">
      <c r="A8" s="140"/>
      <c r="B8" s="140"/>
      <c r="C8" s="140"/>
      <c r="D8" s="140"/>
      <c r="E8" s="141"/>
      <c r="F8" s="140"/>
      <c r="G8" s="141"/>
    </row>
    <row r="9" spans="1:7" ht="20.100000000000001" customHeight="1" x14ac:dyDescent="0.25">
      <c r="A9" s="202" t="s">
        <v>12</v>
      </c>
      <c r="B9" s="202"/>
      <c r="C9" s="202"/>
      <c r="D9" s="202"/>
      <c r="E9" s="202"/>
      <c r="F9" s="202"/>
      <c r="G9" s="202"/>
    </row>
    <row r="10" spans="1:7" ht="20.100000000000001" customHeight="1" x14ac:dyDescent="0.25">
      <c r="A10" s="140"/>
      <c r="B10" s="140"/>
      <c r="C10" s="140"/>
      <c r="D10" s="140"/>
      <c r="E10" s="141"/>
      <c r="F10" s="140"/>
      <c r="G10" s="142"/>
    </row>
    <row r="11" spans="1:7" ht="20.100000000000001" customHeight="1" x14ac:dyDescent="0.25">
      <c r="A11" s="202" t="s">
        <v>2</v>
      </c>
      <c r="B11" s="202"/>
      <c r="C11" s="202"/>
      <c r="D11" s="202"/>
      <c r="E11" s="202"/>
      <c r="F11" s="202"/>
      <c r="G11" s="202"/>
    </row>
    <row r="12" spans="1:7" ht="20.100000000000001" customHeight="1" x14ac:dyDescent="0.25">
      <c r="A12" s="140"/>
      <c r="B12" s="140"/>
      <c r="C12" s="140"/>
      <c r="D12" s="140"/>
      <c r="E12" s="141"/>
      <c r="F12" s="140"/>
      <c r="G12" s="142"/>
    </row>
    <row r="13" spans="1:7" ht="20.100000000000001" customHeight="1" x14ac:dyDescent="0.25">
      <c r="A13" s="202" t="s">
        <v>0</v>
      </c>
      <c r="B13" s="202"/>
      <c r="C13" s="202"/>
      <c r="D13" s="202"/>
      <c r="E13" s="202"/>
      <c r="F13" s="202"/>
      <c r="G13" s="202"/>
    </row>
    <row r="14" spans="1:7" ht="8.25" customHeight="1" x14ac:dyDescent="0.25">
      <c r="A14" s="140"/>
      <c r="B14" s="140"/>
      <c r="C14" s="140"/>
      <c r="D14" s="140"/>
      <c r="E14" s="141"/>
      <c r="F14" s="140"/>
      <c r="G14" s="142"/>
    </row>
    <row r="15" spans="1:7" x14ac:dyDescent="0.25">
      <c r="A15" s="143" t="s">
        <v>3</v>
      </c>
      <c r="B15" s="144" t="s">
        <v>4</v>
      </c>
      <c r="C15" s="144" t="s">
        <v>5</v>
      </c>
      <c r="D15" s="144" t="s">
        <v>1</v>
      </c>
      <c r="E15" s="29" t="s">
        <v>110</v>
      </c>
      <c r="F15" s="143" t="s">
        <v>15</v>
      </c>
      <c r="G15" s="29" t="s">
        <v>95</v>
      </c>
    </row>
    <row r="16" spans="1:7" ht="15.75" thickBot="1" x14ac:dyDescent="0.3">
      <c r="A16" s="16">
        <v>6</v>
      </c>
      <c r="B16" s="16"/>
      <c r="C16" s="16"/>
      <c r="D16" s="16" t="s">
        <v>6</v>
      </c>
      <c r="E16" s="125">
        <f t="shared" ref="E16:F16" si="0">SUM(E17+E22+E26+E30+E37+E41)</f>
        <v>931450.07100670238</v>
      </c>
      <c r="F16" s="125">
        <f t="shared" si="0"/>
        <v>912184.88</v>
      </c>
      <c r="G16" s="55">
        <f>SUM(G17+G22+G26+G30+G37+G41)</f>
        <v>1128955.53</v>
      </c>
    </row>
    <row r="17" spans="1:7" ht="38.25" x14ac:dyDescent="0.25">
      <c r="A17" s="17"/>
      <c r="B17" s="37">
        <v>63</v>
      </c>
      <c r="C17" s="18"/>
      <c r="D17" s="18" t="s">
        <v>16</v>
      </c>
      <c r="E17" s="123">
        <f t="shared" ref="E17:F17" si="1">SUM(E18)</f>
        <v>799579.47309045051</v>
      </c>
      <c r="F17" s="123">
        <f t="shared" si="1"/>
        <v>786234.91999999993</v>
      </c>
      <c r="G17" s="72">
        <f>G18</f>
        <v>903800</v>
      </c>
    </row>
    <row r="18" spans="1:7" ht="25.5" x14ac:dyDescent="0.25">
      <c r="A18" s="19"/>
      <c r="B18" s="3">
        <v>636</v>
      </c>
      <c r="C18" s="3"/>
      <c r="D18" s="3" t="s">
        <v>105</v>
      </c>
      <c r="E18" s="75">
        <f t="shared" ref="E18:F18" si="2">SUM(E19:E20)</f>
        <v>799579.47309045051</v>
      </c>
      <c r="F18" s="75">
        <f t="shared" si="2"/>
        <v>786234.91999999993</v>
      </c>
      <c r="G18" s="73">
        <f>G19+G20</f>
        <v>903800</v>
      </c>
    </row>
    <row r="19" spans="1:7" x14ac:dyDescent="0.25">
      <c r="A19" s="19"/>
      <c r="B19" s="3">
        <v>6361</v>
      </c>
      <c r="C19" s="3"/>
      <c r="D19" s="3" t="s">
        <v>32</v>
      </c>
      <c r="E19" s="76">
        <f>(5901116.54+123315-11316.75)/7.5345</f>
        <v>798077.48224832432</v>
      </c>
      <c r="F19" s="76">
        <v>774953.48</v>
      </c>
      <c r="G19" s="71">
        <v>902311.48</v>
      </c>
    </row>
    <row r="20" spans="1:7" x14ac:dyDescent="0.25">
      <c r="A20" s="19"/>
      <c r="B20" s="3">
        <v>6362</v>
      </c>
      <c r="C20" s="3"/>
      <c r="D20" s="3" t="s">
        <v>33</v>
      </c>
      <c r="E20" s="76">
        <f>11316.75/7.5345</f>
        <v>1501.9908421262194</v>
      </c>
      <c r="F20" s="76">
        <v>11281.44</v>
      </c>
      <c r="G20" s="71">
        <v>1488.52</v>
      </c>
    </row>
    <row r="21" spans="1:7" ht="15.75" thickBot="1" x14ac:dyDescent="0.3">
      <c r="A21" s="20"/>
      <c r="B21" s="21"/>
      <c r="C21" s="22">
        <v>52</v>
      </c>
      <c r="D21" s="22" t="s">
        <v>17</v>
      </c>
      <c r="E21" s="126">
        <f>E17</f>
        <v>799579.47309045051</v>
      </c>
      <c r="F21" s="124">
        <v>786234.92</v>
      </c>
      <c r="G21" s="64">
        <f>G17</f>
        <v>903800</v>
      </c>
    </row>
    <row r="22" spans="1:7" ht="51" x14ac:dyDescent="0.25">
      <c r="A22" s="23"/>
      <c r="B22" s="30">
        <v>63</v>
      </c>
      <c r="C22" s="25"/>
      <c r="D22" s="26" t="s">
        <v>22</v>
      </c>
      <c r="E22" s="123">
        <f t="shared" ref="E22:F23" si="3">SUM(E23)</f>
        <v>19983.57953414294</v>
      </c>
      <c r="F22" s="123">
        <f t="shared" si="3"/>
        <v>26315.87</v>
      </c>
      <c r="G22" s="72">
        <f>G23</f>
        <v>31805.39</v>
      </c>
    </row>
    <row r="23" spans="1:7" ht="25.5" x14ac:dyDescent="0.25">
      <c r="A23" s="27"/>
      <c r="B23" s="1">
        <v>638</v>
      </c>
      <c r="C23" s="2"/>
      <c r="D23" s="4" t="s">
        <v>34</v>
      </c>
      <c r="E23" s="75">
        <f t="shared" si="3"/>
        <v>19983.57953414294</v>
      </c>
      <c r="F23" s="75">
        <f t="shared" si="3"/>
        <v>26315.87</v>
      </c>
      <c r="G23" s="73">
        <f>G24</f>
        <v>31805.39</v>
      </c>
    </row>
    <row r="24" spans="1:7" ht="25.5" x14ac:dyDescent="0.25">
      <c r="A24" s="27"/>
      <c r="B24" s="1">
        <v>6381</v>
      </c>
      <c r="C24" s="2"/>
      <c r="D24" s="4" t="s">
        <v>35</v>
      </c>
      <c r="E24" s="76">
        <f>150566.28/7.5345</f>
        <v>19983.57953414294</v>
      </c>
      <c r="F24" s="76">
        <v>26315.87</v>
      </c>
      <c r="G24" s="71">
        <v>31805.39</v>
      </c>
    </row>
    <row r="25" spans="1:7" ht="15.75" thickBot="1" x14ac:dyDescent="0.3">
      <c r="A25" s="20"/>
      <c r="B25" s="21"/>
      <c r="C25" s="22">
        <v>51</v>
      </c>
      <c r="D25" s="28" t="s">
        <v>23</v>
      </c>
      <c r="E25" s="124">
        <f>E22</f>
        <v>19983.57953414294</v>
      </c>
      <c r="F25" s="124">
        <v>26315.87</v>
      </c>
      <c r="G25" s="64">
        <f>G22</f>
        <v>31805.39</v>
      </c>
    </row>
    <row r="26" spans="1:7" ht="76.5" x14ac:dyDescent="0.25">
      <c r="A26" s="23"/>
      <c r="B26" s="30">
        <v>65</v>
      </c>
      <c r="C26" s="25"/>
      <c r="D26" s="31" t="s">
        <v>19</v>
      </c>
      <c r="E26" s="123">
        <f>SUM(E27)</f>
        <v>46754.392461344476</v>
      </c>
      <c r="F26" s="123">
        <f t="shared" ref="E26:F27" si="4">SUM(F27)</f>
        <v>42888.04</v>
      </c>
      <c r="G26" s="72">
        <f>G27</f>
        <v>31630.13</v>
      </c>
    </row>
    <row r="27" spans="1:7" x14ac:dyDescent="0.25">
      <c r="A27" s="27"/>
      <c r="B27" s="5">
        <v>652</v>
      </c>
      <c r="C27" s="2"/>
      <c r="D27" s="7" t="s">
        <v>36</v>
      </c>
      <c r="E27" s="75">
        <f t="shared" si="4"/>
        <v>46754.392461344476</v>
      </c>
      <c r="F27" s="75">
        <f t="shared" si="4"/>
        <v>42888.04</v>
      </c>
      <c r="G27" s="73">
        <f>G28</f>
        <v>31630.13</v>
      </c>
    </row>
    <row r="28" spans="1:7" x14ac:dyDescent="0.25">
      <c r="A28" s="27"/>
      <c r="B28" s="1">
        <v>6526</v>
      </c>
      <c r="C28" s="2"/>
      <c r="D28" s="7" t="s">
        <v>37</v>
      </c>
      <c r="E28" s="76">
        <f>352270.97/7.5345</f>
        <v>46754.392461344476</v>
      </c>
      <c r="F28" s="76">
        <v>42888.04</v>
      </c>
      <c r="G28" s="71">
        <v>31630.13</v>
      </c>
    </row>
    <row r="29" spans="1:7" ht="26.25" thickBot="1" x14ac:dyDescent="0.3">
      <c r="A29" s="20"/>
      <c r="B29" s="32"/>
      <c r="C29" s="22">
        <v>43</v>
      </c>
      <c r="D29" s="34" t="s">
        <v>18</v>
      </c>
      <c r="E29" s="124">
        <f>E26</f>
        <v>46754.392461344476</v>
      </c>
      <c r="F29" s="124">
        <v>42888.04</v>
      </c>
      <c r="G29" s="64">
        <f>G26</f>
        <v>31630.13</v>
      </c>
    </row>
    <row r="30" spans="1:7" ht="51" x14ac:dyDescent="0.25">
      <c r="A30" s="23"/>
      <c r="B30" s="30">
        <v>66</v>
      </c>
      <c r="C30" s="25"/>
      <c r="D30" s="31" t="s">
        <v>26</v>
      </c>
      <c r="E30" s="123">
        <f t="shared" ref="E30:F30" si="5">SUM(E33+E31)</f>
        <v>7067.5160926405197</v>
      </c>
      <c r="F30" s="123">
        <f t="shared" si="5"/>
        <v>5587.63</v>
      </c>
      <c r="G30" s="72">
        <f>G31+G33</f>
        <v>6548</v>
      </c>
    </row>
    <row r="31" spans="1:7" ht="25.5" x14ac:dyDescent="0.25">
      <c r="A31" s="27"/>
      <c r="B31" s="1">
        <v>661</v>
      </c>
      <c r="C31" s="2"/>
      <c r="D31" s="7" t="s">
        <v>38</v>
      </c>
      <c r="E31" s="75">
        <f t="shared" ref="E31:F31" si="6">SUM(E32)</f>
        <v>5055.0799654920693</v>
      </c>
      <c r="F31" s="75">
        <f t="shared" si="6"/>
        <v>5587.63</v>
      </c>
      <c r="G31" s="73">
        <f>G32</f>
        <v>4193.13</v>
      </c>
    </row>
    <row r="32" spans="1:7" x14ac:dyDescent="0.25">
      <c r="A32" s="27"/>
      <c r="B32" s="1">
        <v>6615</v>
      </c>
      <c r="C32" s="2"/>
      <c r="D32" s="7" t="s">
        <v>39</v>
      </c>
      <c r="E32" s="76">
        <f>38087.5/7.5345</f>
        <v>5055.0799654920693</v>
      </c>
      <c r="F32" s="76">
        <v>5587.63</v>
      </c>
      <c r="G32" s="71">
        <v>4193.13</v>
      </c>
    </row>
    <row r="33" spans="1:10" ht="38.25" x14ac:dyDescent="0.25">
      <c r="A33" s="27"/>
      <c r="B33" s="1">
        <v>663</v>
      </c>
      <c r="C33" s="2"/>
      <c r="D33" s="7" t="s">
        <v>42</v>
      </c>
      <c r="E33" s="76">
        <f>E34</f>
        <v>2012.4361271484504</v>
      </c>
      <c r="F33" s="145"/>
      <c r="G33" s="71">
        <f>G34</f>
        <v>2354.87</v>
      </c>
    </row>
    <row r="34" spans="1:10" x14ac:dyDescent="0.25">
      <c r="A34" s="27"/>
      <c r="B34" s="1">
        <v>6631</v>
      </c>
      <c r="C34" s="2"/>
      <c r="D34" s="7" t="s">
        <v>43</v>
      </c>
      <c r="E34" s="76">
        <f>15162.7/7.5345</f>
        <v>2012.4361271484504</v>
      </c>
      <c r="F34" s="145"/>
      <c r="G34" s="71">
        <v>2354.87</v>
      </c>
    </row>
    <row r="35" spans="1:10" x14ac:dyDescent="0.25">
      <c r="A35" s="35"/>
      <c r="B35" s="11"/>
      <c r="C35" s="15">
        <v>31</v>
      </c>
      <c r="D35" s="36" t="s">
        <v>20</v>
      </c>
      <c r="E35" s="50">
        <f>E30</f>
        <v>7067.5160926405197</v>
      </c>
      <c r="F35" s="50">
        <v>5587.63</v>
      </c>
      <c r="G35" s="74">
        <f>G31</f>
        <v>4193.13</v>
      </c>
    </row>
    <row r="36" spans="1:10" ht="15.75" thickBot="1" x14ac:dyDescent="0.3">
      <c r="A36" s="20"/>
      <c r="B36" s="32"/>
      <c r="C36" s="22">
        <v>61</v>
      </c>
      <c r="D36" s="34" t="s">
        <v>25</v>
      </c>
      <c r="E36" s="124"/>
      <c r="F36" s="146"/>
      <c r="G36" s="64">
        <f>G33</f>
        <v>2354.87</v>
      </c>
    </row>
    <row r="37" spans="1:10" ht="38.25" x14ac:dyDescent="0.25">
      <c r="A37" s="23"/>
      <c r="B37" s="24">
        <v>67</v>
      </c>
      <c r="C37" s="25"/>
      <c r="D37" s="18" t="s">
        <v>21</v>
      </c>
      <c r="E37" s="123">
        <f t="shared" ref="E37:F38" si="7">SUM(E38)</f>
        <v>2575.3865551795075</v>
      </c>
      <c r="F37" s="123">
        <f t="shared" si="7"/>
        <v>3962.17</v>
      </c>
      <c r="G37" s="72">
        <f>G38</f>
        <v>9867.44</v>
      </c>
    </row>
    <row r="38" spans="1:10" ht="38.25" x14ac:dyDescent="0.25">
      <c r="A38" s="27"/>
      <c r="B38" s="1">
        <v>671</v>
      </c>
      <c r="C38" s="2"/>
      <c r="D38" s="3" t="s">
        <v>41</v>
      </c>
      <c r="E38" s="75">
        <f t="shared" si="7"/>
        <v>2575.3865551795075</v>
      </c>
      <c r="F38" s="75">
        <f t="shared" si="7"/>
        <v>3962.17</v>
      </c>
      <c r="G38" s="73">
        <f>G39</f>
        <v>9867.44</v>
      </c>
    </row>
    <row r="39" spans="1:10" ht="38.25" x14ac:dyDescent="0.25">
      <c r="A39" s="27"/>
      <c r="B39" s="1">
        <v>6711</v>
      </c>
      <c r="C39" s="2"/>
      <c r="D39" s="3" t="s">
        <v>40</v>
      </c>
      <c r="E39" s="76">
        <f>(9600+9804.25)/7.5345</f>
        <v>2575.3865551795075</v>
      </c>
      <c r="F39" s="76">
        <v>3962.17</v>
      </c>
      <c r="G39" s="71">
        <v>9867.44</v>
      </c>
    </row>
    <row r="40" spans="1:10" ht="15.75" thickBot="1" x14ac:dyDescent="0.3">
      <c r="A40" s="38"/>
      <c r="B40" s="32"/>
      <c r="C40" s="22">
        <v>11</v>
      </c>
      <c r="D40" s="28" t="s">
        <v>7</v>
      </c>
      <c r="E40" s="124">
        <f>E37</f>
        <v>2575.3865551795075</v>
      </c>
      <c r="F40" s="124">
        <v>3962.17</v>
      </c>
      <c r="G40" s="64">
        <f>G37</f>
        <v>9867.44</v>
      </c>
    </row>
    <row r="41" spans="1:10" ht="38.25" x14ac:dyDescent="0.25">
      <c r="A41" s="23"/>
      <c r="B41" s="24">
        <v>67</v>
      </c>
      <c r="C41" s="25"/>
      <c r="D41" s="26" t="s">
        <v>21</v>
      </c>
      <c r="E41" s="123">
        <f t="shared" ref="E41:F42" si="8">SUM(E42)</f>
        <v>55489.723272944451</v>
      </c>
      <c r="F41" s="123">
        <f t="shared" si="8"/>
        <v>47196.25</v>
      </c>
      <c r="G41" s="72">
        <f>G42</f>
        <v>145304.57</v>
      </c>
      <c r="J41" s="6"/>
    </row>
    <row r="42" spans="1:10" ht="38.25" x14ac:dyDescent="0.25">
      <c r="A42" s="27"/>
      <c r="B42" s="1">
        <v>671</v>
      </c>
      <c r="C42" s="2"/>
      <c r="D42" s="3" t="s">
        <v>41</v>
      </c>
      <c r="E42" s="75">
        <f t="shared" si="8"/>
        <v>55489.723272944451</v>
      </c>
      <c r="F42" s="75">
        <f t="shared" si="8"/>
        <v>47196.25</v>
      </c>
      <c r="G42" s="73">
        <f>G43+G44</f>
        <v>145304.57</v>
      </c>
    </row>
    <row r="43" spans="1:10" ht="38.25" x14ac:dyDescent="0.25">
      <c r="A43" s="27"/>
      <c r="B43" s="1">
        <v>6711</v>
      </c>
      <c r="C43" s="2"/>
      <c r="D43" s="3" t="s">
        <v>40</v>
      </c>
      <c r="E43" s="76">
        <f>(177111+28830+188396.32+23750)/7.5345</f>
        <v>55489.723272944451</v>
      </c>
      <c r="F43" s="76">
        <v>47196.25</v>
      </c>
      <c r="G43" s="71">
        <v>50255.76</v>
      </c>
    </row>
    <row r="44" spans="1:10" ht="38.25" x14ac:dyDescent="0.25">
      <c r="A44" s="27"/>
      <c r="B44" s="1">
        <v>6712</v>
      </c>
      <c r="C44" s="2"/>
      <c r="D44" s="3" t="s">
        <v>96</v>
      </c>
      <c r="E44" s="76"/>
      <c r="F44" s="76"/>
      <c r="G44" s="71">
        <v>95048.81</v>
      </c>
    </row>
    <row r="45" spans="1:10" ht="15.75" thickBot="1" x14ac:dyDescent="0.3">
      <c r="A45" s="20"/>
      <c r="B45" s="21"/>
      <c r="C45" s="22">
        <v>44</v>
      </c>
      <c r="D45" s="28" t="s">
        <v>24</v>
      </c>
      <c r="E45" s="124">
        <f>E41</f>
        <v>55489.723272944451</v>
      </c>
      <c r="F45" s="124">
        <v>47196.25</v>
      </c>
      <c r="G45" s="64">
        <f>G41</f>
        <v>145304.57</v>
      </c>
    </row>
    <row r="46" spans="1:10" ht="15.75" thickBot="1" x14ac:dyDescent="0.3">
      <c r="A46" s="147"/>
      <c r="B46" s="148"/>
      <c r="C46" s="148"/>
      <c r="D46" s="149" t="s">
        <v>44</v>
      </c>
      <c r="E46" s="127">
        <f>SUM(E17+E22+E26+E30+E37+E41)</f>
        <v>931450.07100670238</v>
      </c>
      <c r="F46" s="127">
        <f>SUM(F17+F22+F26+F30+F37+F41)</f>
        <v>912184.88</v>
      </c>
      <c r="G46" s="122">
        <f>SUM(G17+G22+G26+G30+G37+G41)</f>
        <v>1128955.53</v>
      </c>
    </row>
    <row r="50" spans="1:7" ht="15.75" x14ac:dyDescent="0.25">
      <c r="A50" s="202" t="s">
        <v>8</v>
      </c>
      <c r="B50" s="202"/>
      <c r="C50" s="202"/>
      <c r="D50" s="202"/>
      <c r="E50" s="202"/>
      <c r="F50" s="202"/>
      <c r="G50" s="202"/>
    </row>
    <row r="51" spans="1:7" ht="16.5" thickBot="1" x14ac:dyDescent="0.3">
      <c r="A51" s="150"/>
      <c r="B51" s="150"/>
      <c r="C51" s="150"/>
      <c r="D51" s="150"/>
      <c r="E51" s="151"/>
      <c r="F51" s="150"/>
      <c r="G51" s="150"/>
    </row>
    <row r="52" spans="1:7" ht="15.75" thickBot="1" x14ac:dyDescent="0.3">
      <c r="A52" s="152" t="s">
        <v>3</v>
      </c>
      <c r="B52" s="153" t="s">
        <v>4</v>
      </c>
      <c r="C52" s="153" t="s">
        <v>5</v>
      </c>
      <c r="D52" s="153" t="s">
        <v>9</v>
      </c>
      <c r="E52" s="154" t="s">
        <v>110</v>
      </c>
      <c r="F52" s="155" t="s">
        <v>15</v>
      </c>
      <c r="G52" s="84" t="s">
        <v>95</v>
      </c>
    </row>
    <row r="53" spans="1:7" ht="15.75" thickBot="1" x14ac:dyDescent="0.3">
      <c r="A53" s="82">
        <v>3</v>
      </c>
      <c r="B53" s="83"/>
      <c r="C53" s="83">
        <v>11</v>
      </c>
      <c r="D53" s="83" t="s">
        <v>10</v>
      </c>
      <c r="E53" s="129">
        <f>SUM(E54+E64)</f>
        <v>3014.5450925741584</v>
      </c>
      <c r="F53" s="129">
        <f t="shared" ref="F53" si="9">SUM(F54+F64)</f>
        <v>3962.17</v>
      </c>
      <c r="G53" s="81">
        <f>SUM(G54+G64)</f>
        <v>9867.44</v>
      </c>
    </row>
    <row r="54" spans="1:7" x14ac:dyDescent="0.25">
      <c r="A54" s="39"/>
      <c r="B54" s="40">
        <v>31</v>
      </c>
      <c r="C54" s="40"/>
      <c r="D54" s="40" t="s">
        <v>11</v>
      </c>
      <c r="E54" s="96">
        <f t="shared" ref="E54" si="10">SUM(E61+E55+E59)</f>
        <v>2954.8702634547744</v>
      </c>
      <c r="F54" s="96">
        <f>SUM(F61+F55+F59)</f>
        <v>3875.9</v>
      </c>
      <c r="G54" s="56">
        <f>SUM(G61+G55+G59)</f>
        <v>7662.67</v>
      </c>
    </row>
    <row r="55" spans="1:7" x14ac:dyDescent="0.25">
      <c r="A55" s="19"/>
      <c r="B55" s="3">
        <v>311</v>
      </c>
      <c r="C55" s="3"/>
      <c r="D55" s="3" t="s">
        <v>45</v>
      </c>
      <c r="E55" s="57">
        <f t="shared" ref="E55:F55" si="11">SUM(E56:E58)</f>
        <v>2488.3615369301215</v>
      </c>
      <c r="F55" s="57">
        <f t="shared" si="11"/>
        <v>3292.59</v>
      </c>
      <c r="G55" s="62">
        <f>G56+G57+G58</f>
        <v>3484.89</v>
      </c>
    </row>
    <row r="56" spans="1:7" x14ac:dyDescent="0.25">
      <c r="A56" s="19"/>
      <c r="B56" s="3">
        <v>3111</v>
      </c>
      <c r="C56" s="3"/>
      <c r="D56" s="3" t="s">
        <v>46</v>
      </c>
      <c r="E56" s="57">
        <f>10508.56/7.5345</f>
        <v>1394.7255955936025</v>
      </c>
      <c r="F56" s="51">
        <v>3292.59</v>
      </c>
      <c r="G56" s="63">
        <v>3484.89</v>
      </c>
    </row>
    <row r="57" spans="1:7" x14ac:dyDescent="0.25">
      <c r="A57" s="19"/>
      <c r="B57" s="3">
        <v>3113</v>
      </c>
      <c r="C57" s="3"/>
      <c r="D57" s="3" t="s">
        <v>47</v>
      </c>
      <c r="E57" s="57">
        <f>8240/7.5345</f>
        <v>1093.6359413365187</v>
      </c>
      <c r="F57" s="97"/>
      <c r="G57" s="63"/>
    </row>
    <row r="58" spans="1:7" ht="25.5" x14ac:dyDescent="0.25">
      <c r="A58" s="19"/>
      <c r="B58" s="3">
        <v>3114</v>
      </c>
      <c r="C58" s="3"/>
      <c r="D58" s="3" t="s">
        <v>48</v>
      </c>
      <c r="E58" s="57"/>
      <c r="F58" s="97"/>
      <c r="G58" s="63"/>
    </row>
    <row r="59" spans="1:7" x14ac:dyDescent="0.25">
      <c r="A59" s="19"/>
      <c r="B59" s="3">
        <v>312</v>
      </c>
      <c r="C59" s="3"/>
      <c r="D59" s="3" t="s">
        <v>49</v>
      </c>
      <c r="E59" s="57">
        <f t="shared" ref="E59:F59" si="12">SUM(E60)</f>
        <v>79.633685048775632</v>
      </c>
      <c r="F59" s="57">
        <f t="shared" si="12"/>
        <v>40.08</v>
      </c>
      <c r="G59" s="62">
        <f>G60</f>
        <v>3600</v>
      </c>
    </row>
    <row r="60" spans="1:7" x14ac:dyDescent="0.25">
      <c r="A60" s="19"/>
      <c r="B60" s="3">
        <v>3121</v>
      </c>
      <c r="C60" s="3"/>
      <c r="D60" s="3" t="s">
        <v>49</v>
      </c>
      <c r="E60" s="57">
        <f>600/7.5345</f>
        <v>79.633685048775632</v>
      </c>
      <c r="F60" s="51">
        <v>40.08</v>
      </c>
      <c r="G60" s="63">
        <v>3600</v>
      </c>
    </row>
    <row r="61" spans="1:7" x14ac:dyDescent="0.25">
      <c r="A61" s="19"/>
      <c r="B61" s="3">
        <v>313</v>
      </c>
      <c r="C61" s="3"/>
      <c r="D61" s="3" t="s">
        <v>50</v>
      </c>
      <c r="E61" s="57">
        <f t="shared" ref="E61:F61" si="13">SUM(E62)</f>
        <v>386.87504147587759</v>
      </c>
      <c r="F61" s="57">
        <f t="shared" si="13"/>
        <v>543.23</v>
      </c>
      <c r="G61" s="62">
        <f>G62</f>
        <v>577.78</v>
      </c>
    </row>
    <row r="62" spans="1:7" x14ac:dyDescent="0.25">
      <c r="A62" s="19"/>
      <c r="B62" s="3">
        <v>3132</v>
      </c>
      <c r="C62" s="3"/>
      <c r="D62" s="3" t="s">
        <v>51</v>
      </c>
      <c r="E62" s="57">
        <f>2914.91/7.5345</f>
        <v>386.87504147587759</v>
      </c>
      <c r="F62" s="51">
        <v>543.23</v>
      </c>
      <c r="G62" s="63">
        <v>577.78</v>
      </c>
    </row>
    <row r="63" spans="1:7" ht="15.75" thickBot="1" x14ac:dyDescent="0.3">
      <c r="A63" s="20"/>
      <c r="B63" s="21"/>
      <c r="C63" s="33">
        <v>11</v>
      </c>
      <c r="D63" s="33" t="s">
        <v>7</v>
      </c>
      <c r="E63" s="128">
        <f>E54</f>
        <v>2954.8702634547744</v>
      </c>
      <c r="F63" s="128">
        <v>3875.9</v>
      </c>
      <c r="G63" s="77">
        <f>G54</f>
        <v>7662.67</v>
      </c>
    </row>
    <row r="64" spans="1:7" x14ac:dyDescent="0.25">
      <c r="A64" s="41"/>
      <c r="B64" s="42">
        <v>32</v>
      </c>
      <c r="C64" s="43"/>
      <c r="D64" s="42" t="s">
        <v>13</v>
      </c>
      <c r="E64" s="96">
        <f t="shared" ref="E64:F64" si="14">SUM(E65+E68)</f>
        <v>59.674829119384164</v>
      </c>
      <c r="F64" s="96">
        <f t="shared" si="14"/>
        <v>86.27</v>
      </c>
      <c r="G64" s="56">
        <f>G65+G68</f>
        <v>2204.77</v>
      </c>
    </row>
    <row r="65" spans="1:7" x14ac:dyDescent="0.25">
      <c r="A65" s="27"/>
      <c r="B65" s="1">
        <v>321</v>
      </c>
      <c r="C65" s="2"/>
      <c r="D65" s="1" t="s">
        <v>64</v>
      </c>
      <c r="E65" s="57">
        <f t="shared" ref="E65:F65" si="15">SUM(E66)</f>
        <v>59.674829119384164</v>
      </c>
      <c r="F65" s="57">
        <f t="shared" si="15"/>
        <v>86.27</v>
      </c>
      <c r="G65" s="62">
        <f>G66+G67</f>
        <v>2204.77</v>
      </c>
    </row>
    <row r="66" spans="1:7" x14ac:dyDescent="0.25">
      <c r="A66" s="27"/>
      <c r="B66" s="1">
        <v>3212</v>
      </c>
      <c r="C66" s="2"/>
      <c r="D66" s="1" t="s">
        <v>79</v>
      </c>
      <c r="E66" s="57">
        <f>449.62/7.5345</f>
        <v>59.674829119384164</v>
      </c>
      <c r="F66" s="51">
        <v>86.27</v>
      </c>
      <c r="G66" s="63">
        <v>147.61000000000001</v>
      </c>
    </row>
    <row r="67" spans="1:7" x14ac:dyDescent="0.25">
      <c r="A67" s="27"/>
      <c r="B67" s="1">
        <v>3214</v>
      </c>
      <c r="C67" s="2"/>
      <c r="D67" s="1" t="s">
        <v>100</v>
      </c>
      <c r="E67" s="57"/>
      <c r="F67" s="57"/>
      <c r="G67" s="62">
        <v>2057.16</v>
      </c>
    </row>
    <row r="68" spans="1:7" ht="25.5" x14ac:dyDescent="0.25">
      <c r="A68" s="27"/>
      <c r="B68" s="1">
        <v>329</v>
      </c>
      <c r="C68" s="2"/>
      <c r="D68" s="12" t="s">
        <v>52</v>
      </c>
      <c r="E68" s="57">
        <f t="shared" ref="E68:F68" si="16">SUM(E69)</f>
        <v>0</v>
      </c>
      <c r="F68" s="156">
        <f t="shared" si="16"/>
        <v>0</v>
      </c>
      <c r="G68" s="62">
        <f>G69</f>
        <v>0</v>
      </c>
    </row>
    <row r="69" spans="1:7" ht="25.5" x14ac:dyDescent="0.25">
      <c r="A69" s="27"/>
      <c r="B69" s="1">
        <v>3291</v>
      </c>
      <c r="C69" s="2"/>
      <c r="D69" s="12" t="s">
        <v>53</v>
      </c>
      <c r="E69" s="57"/>
      <c r="F69" s="97"/>
      <c r="G69" s="63">
        <v>0</v>
      </c>
    </row>
    <row r="70" spans="1:7" ht="15.75" thickBot="1" x14ac:dyDescent="0.3">
      <c r="A70" s="20"/>
      <c r="B70" s="21"/>
      <c r="C70" s="33">
        <v>11</v>
      </c>
      <c r="D70" s="33" t="s">
        <v>7</v>
      </c>
      <c r="E70" s="128">
        <f>E64</f>
        <v>59.674829119384164</v>
      </c>
      <c r="F70" s="128">
        <v>86.27</v>
      </c>
      <c r="G70" s="64">
        <f>G64</f>
        <v>2204.77</v>
      </c>
    </row>
    <row r="71" spans="1:7" ht="18.75" thickBot="1" x14ac:dyDescent="0.3">
      <c r="A71" s="52"/>
      <c r="B71" s="52"/>
      <c r="C71" s="53"/>
      <c r="D71" s="53"/>
      <c r="E71" s="157"/>
      <c r="F71" s="158"/>
      <c r="G71" s="158"/>
    </row>
    <row r="72" spans="1:7" ht="15.75" thickBot="1" x14ac:dyDescent="0.3">
      <c r="A72" s="78">
        <v>3</v>
      </c>
      <c r="B72" s="79"/>
      <c r="C72" s="80">
        <v>31</v>
      </c>
      <c r="D72" s="80" t="s">
        <v>10</v>
      </c>
      <c r="E72" s="129">
        <f t="shared" ref="E72:G72" si="17">SUM(E73+E80)</f>
        <v>128.43984338708606</v>
      </c>
      <c r="F72" s="129">
        <f t="shared" si="17"/>
        <v>5587.63</v>
      </c>
      <c r="G72" s="81">
        <f t="shared" si="17"/>
        <v>4193.13</v>
      </c>
    </row>
    <row r="73" spans="1:7" x14ac:dyDescent="0.25">
      <c r="A73" s="41"/>
      <c r="B73" s="42">
        <v>31</v>
      </c>
      <c r="C73" s="43"/>
      <c r="D73" s="40" t="s">
        <v>11</v>
      </c>
      <c r="E73" s="96">
        <f>SUM(E74+E77)</f>
        <v>97.699913730174515</v>
      </c>
      <c r="F73" s="96">
        <f t="shared" ref="F73" si="18">SUM(F74+F77)</f>
        <v>943.12999999999988</v>
      </c>
      <c r="G73" s="56">
        <f>G74+G77</f>
        <v>943.12999999999988</v>
      </c>
    </row>
    <row r="74" spans="1:7" x14ac:dyDescent="0.25">
      <c r="A74" s="27"/>
      <c r="B74" s="1">
        <v>311</v>
      </c>
      <c r="C74" s="2"/>
      <c r="D74" s="3" t="s">
        <v>45</v>
      </c>
      <c r="E74" s="57">
        <f t="shared" ref="E74:F74" si="19">SUM(E75:E76)</f>
        <v>83.858252040613166</v>
      </c>
      <c r="F74" s="57">
        <f t="shared" si="19"/>
        <v>809.6099999999999</v>
      </c>
      <c r="G74" s="62">
        <f>G75+G76</f>
        <v>809.6099999999999</v>
      </c>
    </row>
    <row r="75" spans="1:7" x14ac:dyDescent="0.25">
      <c r="A75" s="27"/>
      <c r="B75" s="1">
        <v>3113</v>
      </c>
      <c r="C75" s="2"/>
      <c r="D75" s="3" t="s">
        <v>47</v>
      </c>
      <c r="E75" s="51">
        <f>572.53/7.5345</f>
        <v>75.987789501625841</v>
      </c>
      <c r="F75" s="51">
        <v>703.43</v>
      </c>
      <c r="G75" s="63">
        <v>703.43</v>
      </c>
    </row>
    <row r="76" spans="1:7" x14ac:dyDescent="0.25">
      <c r="A76" s="27"/>
      <c r="B76" s="1">
        <v>3114</v>
      </c>
      <c r="C76" s="2"/>
      <c r="D76" s="2" t="s">
        <v>48</v>
      </c>
      <c r="E76" s="51">
        <f>59.3/7.5345</f>
        <v>7.870462538987324</v>
      </c>
      <c r="F76" s="51">
        <v>106.18</v>
      </c>
      <c r="G76" s="63">
        <v>106.18</v>
      </c>
    </row>
    <row r="77" spans="1:7" x14ac:dyDescent="0.25">
      <c r="A77" s="27"/>
      <c r="B77" s="1">
        <v>313</v>
      </c>
      <c r="C77" s="2"/>
      <c r="D77" s="3" t="s">
        <v>50</v>
      </c>
      <c r="E77" s="57">
        <f t="shared" ref="E77:F77" si="20">SUM(E78)</f>
        <v>13.84166168956135</v>
      </c>
      <c r="F77" s="57">
        <f t="shared" si="20"/>
        <v>133.52000000000001</v>
      </c>
      <c r="G77" s="62">
        <f>G78</f>
        <v>133.52000000000001</v>
      </c>
    </row>
    <row r="78" spans="1:7" x14ac:dyDescent="0.25">
      <c r="A78" s="27"/>
      <c r="B78" s="1">
        <v>3132</v>
      </c>
      <c r="C78" s="2"/>
      <c r="D78" s="3" t="s">
        <v>51</v>
      </c>
      <c r="E78" s="51">
        <f>104.29/7.5345</f>
        <v>13.84166168956135</v>
      </c>
      <c r="F78" s="51">
        <v>133.52000000000001</v>
      </c>
      <c r="G78" s="63">
        <v>133.52000000000001</v>
      </c>
    </row>
    <row r="79" spans="1:7" ht="15.75" thickBot="1" x14ac:dyDescent="0.3">
      <c r="A79" s="20"/>
      <c r="B79" s="21"/>
      <c r="C79" s="33">
        <v>31</v>
      </c>
      <c r="D79" s="33" t="s">
        <v>14</v>
      </c>
      <c r="E79" s="128">
        <f>E73</f>
        <v>97.699913730174515</v>
      </c>
      <c r="F79" s="128">
        <v>943.13</v>
      </c>
      <c r="G79" s="64">
        <f>G73</f>
        <v>943.12999999999988</v>
      </c>
    </row>
    <row r="80" spans="1:7" x14ac:dyDescent="0.25">
      <c r="A80" s="41"/>
      <c r="B80" s="42">
        <v>32</v>
      </c>
      <c r="C80" s="43"/>
      <c r="D80" s="42" t="s">
        <v>13</v>
      </c>
      <c r="E80" s="96">
        <f t="shared" ref="E80:F80" si="21">SUM(E81+E87+E91)</f>
        <v>30.739929656911542</v>
      </c>
      <c r="F80" s="96">
        <f t="shared" si="21"/>
        <v>4644.5</v>
      </c>
      <c r="G80" s="56">
        <f>G81+G87+G91</f>
        <v>3250</v>
      </c>
    </row>
    <row r="81" spans="1:7" x14ac:dyDescent="0.25">
      <c r="A81" s="27"/>
      <c r="B81" s="1">
        <v>322</v>
      </c>
      <c r="C81" s="2"/>
      <c r="D81" s="2" t="s">
        <v>54</v>
      </c>
      <c r="E81" s="57">
        <f t="shared" ref="E81:F81" si="22">SUM(E82:E86)</f>
        <v>0</v>
      </c>
      <c r="F81" s="57">
        <f t="shared" si="22"/>
        <v>2255.4899999999998</v>
      </c>
      <c r="G81" s="62">
        <f>G82+G83+G84+G85+G86</f>
        <v>1700</v>
      </c>
    </row>
    <row r="82" spans="1:7" x14ac:dyDescent="0.25">
      <c r="A82" s="27"/>
      <c r="B82" s="1">
        <v>3221</v>
      </c>
      <c r="C82" s="2"/>
      <c r="D82" s="2" t="s">
        <v>55</v>
      </c>
      <c r="E82" s="51">
        <v>0</v>
      </c>
      <c r="F82" s="51">
        <v>717.37</v>
      </c>
      <c r="G82" s="63">
        <v>700</v>
      </c>
    </row>
    <row r="83" spans="1:7" x14ac:dyDescent="0.25">
      <c r="A83" s="27"/>
      <c r="B83" s="1">
        <v>3222</v>
      </c>
      <c r="C83" s="2"/>
      <c r="D83" s="2" t="s">
        <v>56</v>
      </c>
      <c r="E83" s="51">
        <v>0</v>
      </c>
      <c r="F83" s="51">
        <v>179.04</v>
      </c>
      <c r="G83" s="63">
        <v>200</v>
      </c>
    </row>
    <row r="84" spans="1:7" ht="25.5" x14ac:dyDescent="0.25">
      <c r="A84" s="27"/>
      <c r="B84" s="1">
        <v>3224</v>
      </c>
      <c r="C84" s="2"/>
      <c r="D84" s="4" t="s">
        <v>57</v>
      </c>
      <c r="E84" s="51">
        <v>0</v>
      </c>
      <c r="F84" s="51">
        <v>816.25</v>
      </c>
      <c r="G84" s="63">
        <v>800</v>
      </c>
    </row>
    <row r="85" spans="1:7" x14ac:dyDescent="0.25">
      <c r="A85" s="27"/>
      <c r="B85" s="1">
        <v>3225</v>
      </c>
      <c r="C85" s="2"/>
      <c r="D85" s="2" t="s">
        <v>58</v>
      </c>
      <c r="E85" s="51">
        <v>0</v>
      </c>
      <c r="F85" s="51">
        <v>410.11</v>
      </c>
      <c r="G85" s="63">
        <v>0</v>
      </c>
    </row>
    <row r="86" spans="1:7" ht="25.5" x14ac:dyDescent="0.25">
      <c r="A86" s="27"/>
      <c r="B86" s="1">
        <v>3227</v>
      </c>
      <c r="C86" s="2"/>
      <c r="D86" s="4" t="s">
        <v>59</v>
      </c>
      <c r="E86" s="51">
        <v>0</v>
      </c>
      <c r="F86" s="51">
        <v>132.72</v>
      </c>
      <c r="G86" s="63">
        <v>0</v>
      </c>
    </row>
    <row r="87" spans="1:7" x14ac:dyDescent="0.25">
      <c r="A87" s="27"/>
      <c r="B87" s="1">
        <v>323</v>
      </c>
      <c r="C87" s="2"/>
      <c r="D87" s="2" t="s">
        <v>60</v>
      </c>
      <c r="E87" s="57">
        <f>SUM(E88:E90)</f>
        <v>0</v>
      </c>
      <c r="F87" s="57">
        <v>2389.0100000000002</v>
      </c>
      <c r="G87" s="62">
        <f>G88+G89+G90</f>
        <v>1550</v>
      </c>
    </row>
    <row r="88" spans="1:7" x14ac:dyDescent="0.25">
      <c r="A88" s="27"/>
      <c r="B88" s="1">
        <v>3232</v>
      </c>
      <c r="C88" s="2"/>
      <c r="D88" s="2" t="s">
        <v>61</v>
      </c>
      <c r="E88" s="51">
        <v>0</v>
      </c>
      <c r="F88" s="51">
        <v>1327.23</v>
      </c>
      <c r="G88" s="63">
        <v>550</v>
      </c>
    </row>
    <row r="89" spans="1:7" x14ac:dyDescent="0.25">
      <c r="A89" s="27"/>
      <c r="B89" s="1">
        <v>3234</v>
      </c>
      <c r="C89" s="2"/>
      <c r="D89" s="2" t="s">
        <v>62</v>
      </c>
      <c r="E89" s="51">
        <v>0</v>
      </c>
      <c r="F89" s="51">
        <v>1061.78</v>
      </c>
      <c r="G89" s="63">
        <v>1000</v>
      </c>
    </row>
    <row r="90" spans="1:7" x14ac:dyDescent="0.25">
      <c r="A90" s="27"/>
      <c r="B90" s="1">
        <v>3239</v>
      </c>
      <c r="C90" s="2"/>
      <c r="D90" s="2" t="s">
        <v>63</v>
      </c>
      <c r="E90" s="51"/>
      <c r="F90" s="97"/>
      <c r="G90" s="63">
        <v>0</v>
      </c>
    </row>
    <row r="91" spans="1:7" ht="25.5" x14ac:dyDescent="0.25">
      <c r="A91" s="27"/>
      <c r="B91" s="1">
        <v>329</v>
      </c>
      <c r="C91" s="2"/>
      <c r="D91" s="4" t="s">
        <v>52</v>
      </c>
      <c r="E91" s="57">
        <f t="shared" ref="E91:F91" si="23">SUM(E92)</f>
        <v>30.739929656911542</v>
      </c>
      <c r="F91" s="57">
        <f t="shared" si="23"/>
        <v>0</v>
      </c>
      <c r="G91" s="62">
        <f>G92</f>
        <v>0</v>
      </c>
    </row>
    <row r="92" spans="1:7" ht="25.5" x14ac:dyDescent="0.25">
      <c r="A92" s="27"/>
      <c r="B92" s="1">
        <v>3299</v>
      </c>
      <c r="C92" s="2"/>
      <c r="D92" s="4" t="s">
        <v>52</v>
      </c>
      <c r="E92" s="51">
        <f>231.61/7.5345</f>
        <v>30.739929656911542</v>
      </c>
      <c r="F92" s="51">
        <v>0</v>
      </c>
      <c r="G92" s="63">
        <v>0</v>
      </c>
    </row>
    <row r="93" spans="1:7" ht="15.75" thickBot="1" x14ac:dyDescent="0.3">
      <c r="A93" s="20"/>
      <c r="B93" s="21"/>
      <c r="C93" s="33">
        <v>31</v>
      </c>
      <c r="D93" s="33" t="s">
        <v>14</v>
      </c>
      <c r="E93" s="128">
        <f>E80</f>
        <v>30.739929656911542</v>
      </c>
      <c r="F93" s="128">
        <v>4664.5</v>
      </c>
      <c r="G93" s="64">
        <f>G80</f>
        <v>3250</v>
      </c>
    </row>
    <row r="94" spans="1:7" ht="11.25" customHeight="1" thickBot="1" x14ac:dyDescent="0.3"/>
    <row r="95" spans="1:7" ht="38.25" x14ac:dyDescent="0.25">
      <c r="A95" s="45">
        <v>4</v>
      </c>
      <c r="B95" s="103"/>
      <c r="C95" s="47">
        <v>42</v>
      </c>
      <c r="D95" s="48" t="s">
        <v>98</v>
      </c>
      <c r="E95" s="133">
        <f t="shared" ref="E95:G96" si="24">SUM(E96)</f>
        <v>1358.6475545822548</v>
      </c>
      <c r="F95" s="133">
        <f t="shared" si="24"/>
        <v>0</v>
      </c>
      <c r="G95" s="68">
        <f t="shared" si="24"/>
        <v>0</v>
      </c>
    </row>
    <row r="96" spans="1:7" ht="30" x14ac:dyDescent="0.25">
      <c r="A96" s="160"/>
      <c r="B96" s="161">
        <v>42</v>
      </c>
      <c r="C96" s="161"/>
      <c r="D96" s="162" t="s">
        <v>30</v>
      </c>
      <c r="E96" s="59">
        <f t="shared" si="24"/>
        <v>1358.6475545822548</v>
      </c>
      <c r="F96" s="59">
        <f t="shared" si="24"/>
        <v>0</v>
      </c>
      <c r="G96" s="104">
        <f>G97</f>
        <v>0</v>
      </c>
    </row>
    <row r="97" spans="1:8" ht="15" customHeight="1" x14ac:dyDescent="0.25">
      <c r="A97" s="163"/>
      <c r="B97" s="138">
        <v>4221</v>
      </c>
      <c r="C97" s="138"/>
      <c r="D97" s="164" t="s">
        <v>85</v>
      </c>
      <c r="E97" s="60">
        <f>10236.73/7.5345</f>
        <v>1358.6475545822548</v>
      </c>
      <c r="F97" s="60">
        <f>SUM(F98)</f>
        <v>0</v>
      </c>
      <c r="G97" s="65">
        <f>G98</f>
        <v>0</v>
      </c>
    </row>
    <row r="98" spans="1:8" x14ac:dyDescent="0.25">
      <c r="A98" s="163"/>
      <c r="B98" s="138">
        <v>4241</v>
      </c>
      <c r="C98" s="138"/>
      <c r="D98" s="138" t="s">
        <v>91</v>
      </c>
      <c r="E98" s="60">
        <v>0</v>
      </c>
      <c r="F98" s="60">
        <v>0</v>
      </c>
      <c r="G98" s="65">
        <v>0</v>
      </c>
    </row>
    <row r="99" spans="1:8" ht="15.75" thickBot="1" x14ac:dyDescent="0.3">
      <c r="A99" s="165"/>
      <c r="B99" s="166"/>
      <c r="C99" s="33">
        <v>31</v>
      </c>
      <c r="D99" s="33" t="s">
        <v>14</v>
      </c>
      <c r="E99" s="134">
        <f>E95</f>
        <v>1358.6475545822548</v>
      </c>
      <c r="F99" s="134">
        <v>11281.44</v>
      </c>
      <c r="G99" s="105">
        <f>G95</f>
        <v>0</v>
      </c>
    </row>
    <row r="100" spans="1:8" ht="21" thickBot="1" x14ac:dyDescent="0.3">
      <c r="A100" s="52"/>
      <c r="B100" s="52"/>
      <c r="C100" s="53"/>
      <c r="D100" s="53"/>
      <c r="E100" s="157"/>
      <c r="F100" s="167"/>
      <c r="G100" s="167"/>
    </row>
    <row r="101" spans="1:8" ht="15.75" thickBot="1" x14ac:dyDescent="0.3">
      <c r="A101" s="85">
        <v>3</v>
      </c>
      <c r="B101" s="86"/>
      <c r="C101" s="87">
        <v>52</v>
      </c>
      <c r="D101" s="87" t="s">
        <v>10</v>
      </c>
      <c r="E101" s="135">
        <f>SUM(E102+E113+E126+E130)</f>
        <v>800115.42317971308</v>
      </c>
      <c r="F101" s="135">
        <f>SUM(F102+F113+F126+F130)</f>
        <v>774953.4800000001</v>
      </c>
      <c r="G101" s="81">
        <f>SUM(G102+G113+G126+G130)</f>
        <v>890617.2300000001</v>
      </c>
      <c r="H101" s="6"/>
    </row>
    <row r="102" spans="1:8" x14ac:dyDescent="0.25">
      <c r="A102" s="41"/>
      <c r="B102" s="42">
        <v>31</v>
      </c>
      <c r="C102" s="43"/>
      <c r="D102" s="40" t="s">
        <v>11</v>
      </c>
      <c r="E102" s="96">
        <f t="shared" ref="E102:F102" si="25">SUM(E103+E108+E110)</f>
        <v>736372.92398297798</v>
      </c>
      <c r="F102" s="96">
        <f t="shared" si="25"/>
        <v>730130.33000000007</v>
      </c>
      <c r="G102" s="56">
        <f>G103+G108+G110</f>
        <v>821725.60000000009</v>
      </c>
    </row>
    <row r="103" spans="1:8" x14ac:dyDescent="0.25">
      <c r="A103" s="27"/>
      <c r="B103" s="1">
        <v>311</v>
      </c>
      <c r="C103" s="2"/>
      <c r="D103" s="3" t="s">
        <v>45</v>
      </c>
      <c r="E103" s="57">
        <f t="shared" ref="E103:F103" si="26">SUM(E104:E107)</f>
        <v>608405.37998394028</v>
      </c>
      <c r="F103" s="57">
        <f t="shared" si="26"/>
        <v>607723.4</v>
      </c>
      <c r="G103" s="88">
        <f>G104+G105+G106+G107</f>
        <v>678400.08000000007</v>
      </c>
    </row>
    <row r="104" spans="1:8" x14ac:dyDescent="0.25">
      <c r="A104" s="27"/>
      <c r="B104" s="1">
        <v>3111</v>
      </c>
      <c r="C104" s="2"/>
      <c r="D104" s="3" t="s">
        <v>46</v>
      </c>
      <c r="E104" s="51">
        <f>(4340623.64/7.5345)+3042.556</f>
        <v>579142.31577171665</v>
      </c>
      <c r="F104" s="51">
        <v>582592.87</v>
      </c>
      <c r="G104" s="63">
        <v>655312.9</v>
      </c>
    </row>
    <row r="105" spans="1:8" ht="25.5" x14ac:dyDescent="0.25">
      <c r="A105" s="27"/>
      <c r="B105" s="1">
        <v>3111</v>
      </c>
      <c r="C105" s="2"/>
      <c r="D105" s="3" t="s">
        <v>99</v>
      </c>
      <c r="E105" s="51">
        <f>52759.12/7.5345</f>
        <v>7002.338575884266</v>
      </c>
      <c r="F105" s="97">
        <v>0</v>
      </c>
      <c r="G105" s="63">
        <v>0</v>
      </c>
    </row>
    <row r="106" spans="1:8" x14ac:dyDescent="0.25">
      <c r="A106" s="27"/>
      <c r="B106" s="1">
        <v>3113</v>
      </c>
      <c r="C106" s="2"/>
      <c r="D106" s="3" t="s">
        <v>47</v>
      </c>
      <c r="E106" s="51">
        <f>57028.69/7.5345</f>
        <v>7569.0078970071008</v>
      </c>
      <c r="F106" s="51">
        <v>9193.18</v>
      </c>
      <c r="G106" s="63">
        <v>7585.38</v>
      </c>
    </row>
    <row r="107" spans="1:8" x14ac:dyDescent="0.25">
      <c r="A107" s="27"/>
      <c r="B107" s="1">
        <v>3114</v>
      </c>
      <c r="C107" s="2"/>
      <c r="D107" s="1" t="s">
        <v>48</v>
      </c>
      <c r="E107" s="51">
        <f>(110229.07/7.5345)+61.806</f>
        <v>14691.717739332405</v>
      </c>
      <c r="F107" s="51">
        <v>15937.35</v>
      </c>
      <c r="G107" s="63">
        <v>15501.8</v>
      </c>
    </row>
    <row r="108" spans="1:8" x14ac:dyDescent="0.25">
      <c r="A108" s="27"/>
      <c r="B108" s="1">
        <v>312</v>
      </c>
      <c r="C108" s="2"/>
      <c r="D108" s="3" t="s">
        <v>49</v>
      </c>
      <c r="E108" s="57">
        <f t="shared" ref="E108:F108" si="27">SUM(E109)</f>
        <v>28081.254236790759</v>
      </c>
      <c r="F108" s="57">
        <f t="shared" si="27"/>
        <v>26279.119999999999</v>
      </c>
      <c r="G108" s="62">
        <f>G109</f>
        <v>33258.42</v>
      </c>
    </row>
    <row r="109" spans="1:8" x14ac:dyDescent="0.25">
      <c r="A109" s="27"/>
      <c r="B109" s="1">
        <v>3121</v>
      </c>
      <c r="C109" s="2"/>
      <c r="D109" s="3" t="s">
        <v>49</v>
      </c>
      <c r="E109" s="51">
        <f>(210326.49/7.5345)+166.1318</f>
        <v>28081.254236790759</v>
      </c>
      <c r="F109" s="51">
        <v>26279.119999999999</v>
      </c>
      <c r="G109" s="63">
        <v>33258.42</v>
      </c>
    </row>
    <row r="110" spans="1:8" x14ac:dyDescent="0.25">
      <c r="A110" s="27"/>
      <c r="B110" s="1">
        <v>313</v>
      </c>
      <c r="C110" s="2"/>
      <c r="D110" s="3" t="s">
        <v>50</v>
      </c>
      <c r="E110" s="57">
        <f>SUM(E111:E111)</f>
        <v>99886.28976224699</v>
      </c>
      <c r="F110" s="57">
        <f>SUM(F111:F111)</f>
        <v>96127.81</v>
      </c>
      <c r="G110" s="62">
        <f>G111</f>
        <v>110067.1</v>
      </c>
    </row>
    <row r="111" spans="1:8" x14ac:dyDescent="0.25">
      <c r="A111" s="27"/>
      <c r="B111" s="1">
        <v>3132</v>
      </c>
      <c r="C111" s="2"/>
      <c r="D111" s="3" t="s">
        <v>51</v>
      </c>
      <c r="E111" s="51">
        <f>(748829.83/7.5345)+499.4917</f>
        <v>99886.28976224699</v>
      </c>
      <c r="F111" s="51">
        <v>96127.81</v>
      </c>
      <c r="G111" s="63">
        <v>110067.1</v>
      </c>
    </row>
    <row r="112" spans="1:8" ht="15.75" thickBot="1" x14ac:dyDescent="0.3">
      <c r="A112" s="20"/>
      <c r="B112" s="21"/>
      <c r="C112" s="33">
        <v>52</v>
      </c>
      <c r="D112" s="33" t="s">
        <v>17</v>
      </c>
      <c r="E112" s="128">
        <f>E102</f>
        <v>736372.92398297798</v>
      </c>
      <c r="F112" s="128">
        <v>730130.33</v>
      </c>
      <c r="G112" s="64">
        <f>G102</f>
        <v>821725.60000000009</v>
      </c>
    </row>
    <row r="113" spans="1:7" x14ac:dyDescent="0.25">
      <c r="A113" s="41"/>
      <c r="B113" s="42">
        <v>32</v>
      </c>
      <c r="C113" s="43"/>
      <c r="D113" s="42" t="s">
        <v>13</v>
      </c>
      <c r="E113" s="96">
        <f t="shared" ref="E113:F113" si="28">SUM(E114+E116+E119+E122)</f>
        <v>50434.02351818965</v>
      </c>
      <c r="F113" s="96">
        <f t="shared" si="28"/>
        <v>44823.15</v>
      </c>
      <c r="G113" s="56">
        <f>G114+G116+G119+G122</f>
        <v>68411.539999999994</v>
      </c>
    </row>
    <row r="114" spans="1:7" x14ac:dyDescent="0.25">
      <c r="A114" s="27"/>
      <c r="B114" s="1">
        <v>321</v>
      </c>
      <c r="C114" s="2"/>
      <c r="D114" s="2" t="s">
        <v>64</v>
      </c>
      <c r="E114" s="57">
        <f t="shared" ref="E114:F114" si="29">SUM(E115)</f>
        <v>30979.417373123626</v>
      </c>
      <c r="F114" s="57">
        <f t="shared" si="29"/>
        <v>35038.82</v>
      </c>
      <c r="G114" s="62">
        <f>G115</f>
        <v>22422.74</v>
      </c>
    </row>
    <row r="115" spans="1:7" ht="25.5" x14ac:dyDescent="0.25">
      <c r="A115" s="27"/>
      <c r="B115" s="1">
        <v>3212</v>
      </c>
      <c r="C115" s="2"/>
      <c r="D115" s="4" t="s">
        <v>67</v>
      </c>
      <c r="E115" s="51">
        <f>(232414.8/7.5345)+132.6724</f>
        <v>30979.417373123626</v>
      </c>
      <c r="F115" s="51">
        <v>35038.82</v>
      </c>
      <c r="G115" s="63">
        <v>22422.74</v>
      </c>
    </row>
    <row r="116" spans="1:7" x14ac:dyDescent="0.25">
      <c r="A116" s="27"/>
      <c r="B116" s="1">
        <v>322</v>
      </c>
      <c r="C116" s="2"/>
      <c r="D116" s="2" t="s">
        <v>54</v>
      </c>
      <c r="E116" s="57">
        <f t="shared" ref="E116:F116" si="30">SUM(E117:E118)</f>
        <v>2455.3719556705819</v>
      </c>
      <c r="F116" s="57">
        <f t="shared" si="30"/>
        <v>3902.05</v>
      </c>
      <c r="G116" s="62">
        <f>G117+G118</f>
        <v>44044.37</v>
      </c>
    </row>
    <row r="117" spans="1:7" x14ac:dyDescent="0.25">
      <c r="A117" s="27"/>
      <c r="B117" s="1">
        <v>3221</v>
      </c>
      <c r="C117" s="2"/>
      <c r="D117" s="2" t="s">
        <v>55</v>
      </c>
      <c r="E117" s="51"/>
      <c r="F117" s="97"/>
      <c r="G117" s="63">
        <v>0</v>
      </c>
    </row>
    <row r="118" spans="1:7" x14ac:dyDescent="0.25">
      <c r="A118" s="27"/>
      <c r="B118" s="1">
        <v>3222</v>
      </c>
      <c r="C118" s="2"/>
      <c r="D118" s="2" t="s">
        <v>56</v>
      </c>
      <c r="E118" s="51">
        <f>18500/7.5345</f>
        <v>2455.3719556705819</v>
      </c>
      <c r="F118" s="51">
        <v>3902.05</v>
      </c>
      <c r="G118" s="63">
        <v>44044.37</v>
      </c>
    </row>
    <row r="119" spans="1:7" x14ac:dyDescent="0.25">
      <c r="A119" s="27"/>
      <c r="B119" s="1">
        <v>323</v>
      </c>
      <c r="C119" s="2"/>
      <c r="D119" s="2" t="s">
        <v>60</v>
      </c>
      <c r="E119" s="57">
        <f t="shared" ref="E119:F119" si="31">SUM(E120:E121)</f>
        <v>11090.815581657705</v>
      </c>
      <c r="F119" s="57">
        <f t="shared" si="31"/>
        <v>4156.88</v>
      </c>
      <c r="G119" s="62">
        <f>G120+G121</f>
        <v>0</v>
      </c>
    </row>
    <row r="120" spans="1:7" x14ac:dyDescent="0.25">
      <c r="A120" s="27"/>
      <c r="B120" s="1">
        <v>3236</v>
      </c>
      <c r="C120" s="2"/>
      <c r="D120" s="2" t="s">
        <v>66</v>
      </c>
      <c r="E120" s="51">
        <f>1739.75/7.5345</f>
        <v>230.90450593934565</v>
      </c>
      <c r="F120" s="97"/>
      <c r="G120" s="63">
        <v>0</v>
      </c>
    </row>
    <row r="121" spans="1:7" x14ac:dyDescent="0.25">
      <c r="A121" s="27"/>
      <c r="B121" s="1">
        <v>3239</v>
      </c>
      <c r="C121" s="2"/>
      <c r="D121" s="2" t="s">
        <v>63</v>
      </c>
      <c r="E121" s="51">
        <f>(70000+11824)/7.5345</f>
        <v>10859.911075718361</v>
      </c>
      <c r="F121" s="51">
        <v>4156.88</v>
      </c>
      <c r="G121" s="63">
        <v>0</v>
      </c>
    </row>
    <row r="122" spans="1:7" ht="25.5" x14ac:dyDescent="0.25">
      <c r="A122" s="27"/>
      <c r="B122" s="1">
        <v>329</v>
      </c>
      <c r="C122" s="2"/>
      <c r="D122" s="4" t="s">
        <v>52</v>
      </c>
      <c r="E122" s="57">
        <f t="shared" ref="E122:F122" si="32">SUM(E123:E124)</f>
        <v>5908.4186077377399</v>
      </c>
      <c r="F122" s="57">
        <f t="shared" si="32"/>
        <v>1725.4</v>
      </c>
      <c r="G122" s="62">
        <f>G123+G124</f>
        <v>1944.43</v>
      </c>
    </row>
    <row r="123" spans="1:7" x14ac:dyDescent="0.25">
      <c r="A123" s="27"/>
      <c r="B123" s="1">
        <v>3295</v>
      </c>
      <c r="C123" s="2"/>
      <c r="D123" s="2" t="s">
        <v>81</v>
      </c>
      <c r="E123" s="51">
        <f>17784/7.5345</f>
        <v>2360.3424248457095</v>
      </c>
      <c r="F123" s="51">
        <v>1725.4</v>
      </c>
      <c r="G123" s="63">
        <v>1944.43</v>
      </c>
    </row>
    <row r="124" spans="1:7" x14ac:dyDescent="0.25">
      <c r="A124" s="27"/>
      <c r="B124" s="1">
        <v>3296</v>
      </c>
      <c r="C124" s="2"/>
      <c r="D124" s="2" t="s">
        <v>82</v>
      </c>
      <c r="E124" s="51">
        <f>26732.98/7.5345</f>
        <v>3548.0761828920299</v>
      </c>
      <c r="F124" s="97"/>
      <c r="G124" s="63">
        <v>0</v>
      </c>
    </row>
    <row r="125" spans="1:7" ht="15.75" thickBot="1" x14ac:dyDescent="0.3">
      <c r="A125" s="20"/>
      <c r="B125" s="21"/>
      <c r="C125" s="33">
        <v>52</v>
      </c>
      <c r="D125" s="33" t="s">
        <v>17</v>
      </c>
      <c r="E125" s="128">
        <f>E113</f>
        <v>50434.02351818965</v>
      </c>
      <c r="F125" s="128">
        <v>44823.15</v>
      </c>
      <c r="G125" s="64">
        <f>G113</f>
        <v>68411.539999999994</v>
      </c>
    </row>
    <row r="126" spans="1:7" x14ac:dyDescent="0.25">
      <c r="A126" s="41"/>
      <c r="B126" s="89">
        <v>34</v>
      </c>
      <c r="C126" s="43"/>
      <c r="D126" s="90" t="s">
        <v>28</v>
      </c>
      <c r="E126" s="96">
        <f t="shared" ref="E126:G127" si="33">SUM(E127)</f>
        <v>2754.3393722211158</v>
      </c>
      <c r="F126" s="96">
        <f t="shared" si="33"/>
        <v>0</v>
      </c>
      <c r="G126" s="91">
        <f t="shared" si="33"/>
        <v>0</v>
      </c>
    </row>
    <row r="127" spans="1:7" x14ac:dyDescent="0.25">
      <c r="A127" s="27"/>
      <c r="B127" s="1">
        <v>343</v>
      </c>
      <c r="C127" s="2"/>
      <c r="D127" s="2" t="s">
        <v>97</v>
      </c>
      <c r="E127" s="57">
        <f t="shared" si="33"/>
        <v>2754.3393722211158</v>
      </c>
      <c r="F127" s="57">
        <f t="shared" si="33"/>
        <v>0</v>
      </c>
      <c r="G127" s="62">
        <f>G128</f>
        <v>0</v>
      </c>
    </row>
    <row r="128" spans="1:7" x14ac:dyDescent="0.25">
      <c r="A128" s="27"/>
      <c r="B128" s="1">
        <v>3433</v>
      </c>
      <c r="C128" s="2"/>
      <c r="D128" s="2" t="s">
        <v>76</v>
      </c>
      <c r="E128" s="51">
        <f>20752.57/7.5345</f>
        <v>2754.3393722211158</v>
      </c>
      <c r="F128" s="97"/>
      <c r="G128" s="63">
        <v>0</v>
      </c>
    </row>
    <row r="129" spans="1:7" ht="15.75" thickBot="1" x14ac:dyDescent="0.3">
      <c r="A129" s="20"/>
      <c r="B129" s="32"/>
      <c r="C129" s="33">
        <v>52</v>
      </c>
      <c r="D129" s="33" t="s">
        <v>17</v>
      </c>
      <c r="E129" s="128">
        <f>E126</f>
        <v>2754.3393722211158</v>
      </c>
      <c r="F129" s="102"/>
      <c r="G129" s="77"/>
    </row>
    <row r="130" spans="1:7" ht="51" x14ac:dyDescent="0.25">
      <c r="A130" s="41"/>
      <c r="B130" s="89">
        <v>37</v>
      </c>
      <c r="C130" s="43"/>
      <c r="D130" s="92" t="s">
        <v>29</v>
      </c>
      <c r="E130" s="96">
        <f t="shared" ref="E130:F131" si="34">SUM(E131)</f>
        <v>10554.136306324241</v>
      </c>
      <c r="F130" s="96">
        <f t="shared" si="34"/>
        <v>0</v>
      </c>
      <c r="G130" s="56">
        <f>SUM(G131)+G133</f>
        <v>480.09</v>
      </c>
    </row>
    <row r="131" spans="1:7" ht="51" x14ac:dyDescent="0.25">
      <c r="A131" s="27"/>
      <c r="B131" s="1">
        <v>372</v>
      </c>
      <c r="C131" s="2"/>
      <c r="D131" s="4" t="s">
        <v>78</v>
      </c>
      <c r="E131" s="57">
        <f t="shared" si="34"/>
        <v>10554.136306324241</v>
      </c>
      <c r="F131" s="57">
        <f t="shared" si="34"/>
        <v>0</v>
      </c>
      <c r="G131" s="62">
        <f>G132</f>
        <v>0</v>
      </c>
    </row>
    <row r="132" spans="1:7" ht="25.5" x14ac:dyDescent="0.25">
      <c r="A132" s="27"/>
      <c r="B132" s="1">
        <v>3722</v>
      </c>
      <c r="C132" s="2"/>
      <c r="D132" s="4" t="s">
        <v>77</v>
      </c>
      <c r="E132" s="57">
        <f>79520.14/7.5345</f>
        <v>10554.136306324241</v>
      </c>
      <c r="F132" s="97"/>
      <c r="G132" s="63">
        <v>0</v>
      </c>
    </row>
    <row r="133" spans="1:7" x14ac:dyDescent="0.25">
      <c r="A133" s="93"/>
      <c r="B133" s="54">
        <v>38129</v>
      </c>
      <c r="C133" s="98"/>
      <c r="D133" s="99" t="s">
        <v>103</v>
      </c>
      <c r="E133" s="100"/>
      <c r="F133" s="101"/>
      <c r="G133" s="94">
        <v>480.09</v>
      </c>
    </row>
    <row r="134" spans="1:7" ht="15.75" thickBot="1" x14ac:dyDescent="0.3">
      <c r="A134" s="20"/>
      <c r="B134" s="32"/>
      <c r="C134" s="33">
        <v>52</v>
      </c>
      <c r="D134" s="95" t="s">
        <v>17</v>
      </c>
      <c r="E134" s="128">
        <f>E130</f>
        <v>10554.136306324241</v>
      </c>
      <c r="F134" s="102"/>
      <c r="G134" s="64">
        <f>G130</f>
        <v>480.09</v>
      </c>
    </row>
    <row r="135" spans="1:7" ht="15.75" thickBot="1" x14ac:dyDescent="0.3">
      <c r="A135" s="200"/>
      <c r="B135" s="200"/>
      <c r="C135" s="200"/>
      <c r="D135" s="200"/>
      <c r="E135" s="200"/>
      <c r="F135" s="200"/>
      <c r="G135" s="200"/>
    </row>
    <row r="136" spans="1:7" ht="38.25" x14ac:dyDescent="0.25">
      <c r="A136" s="45">
        <v>4</v>
      </c>
      <c r="B136" s="103"/>
      <c r="C136" s="47">
        <v>52</v>
      </c>
      <c r="D136" s="48" t="s">
        <v>98</v>
      </c>
      <c r="E136" s="133">
        <f t="shared" ref="E136:G138" si="35">SUM(E137)</f>
        <v>1457.9069613113013</v>
      </c>
      <c r="F136" s="133">
        <f t="shared" si="35"/>
        <v>11281.44</v>
      </c>
      <c r="G136" s="68">
        <f t="shared" si="35"/>
        <v>12702.98</v>
      </c>
    </row>
    <row r="137" spans="1:7" ht="30" x14ac:dyDescent="0.25">
      <c r="A137" s="160"/>
      <c r="B137" s="161">
        <v>42</v>
      </c>
      <c r="C137" s="161"/>
      <c r="D137" s="162" t="s">
        <v>30</v>
      </c>
      <c r="E137" s="59">
        <f t="shared" si="35"/>
        <v>1457.9069613113013</v>
      </c>
      <c r="F137" s="59">
        <f t="shared" si="35"/>
        <v>11281.44</v>
      </c>
      <c r="G137" s="104">
        <f>G138</f>
        <v>12702.98</v>
      </c>
    </row>
    <row r="138" spans="1:7" ht="30" x14ac:dyDescent="0.25">
      <c r="A138" s="163"/>
      <c r="B138" s="138">
        <v>424</v>
      </c>
      <c r="C138" s="138"/>
      <c r="D138" s="139" t="s">
        <v>90</v>
      </c>
      <c r="E138" s="60">
        <f t="shared" si="35"/>
        <v>1457.9069613113013</v>
      </c>
      <c r="F138" s="60">
        <f t="shared" si="35"/>
        <v>11281.44</v>
      </c>
      <c r="G138" s="65">
        <f>G139</f>
        <v>12702.98</v>
      </c>
    </row>
    <row r="139" spans="1:7" x14ac:dyDescent="0.25">
      <c r="A139" s="163"/>
      <c r="B139" s="138">
        <v>4241</v>
      </c>
      <c r="C139" s="138"/>
      <c r="D139" s="138" t="s">
        <v>91</v>
      </c>
      <c r="E139" s="60">
        <f>10984.6/7.5345</f>
        <v>1457.9069613113013</v>
      </c>
      <c r="F139" s="60">
        <v>11281.44</v>
      </c>
      <c r="G139" s="65">
        <v>12702.98</v>
      </c>
    </row>
    <row r="140" spans="1:7" ht="15.75" thickBot="1" x14ac:dyDescent="0.3">
      <c r="A140" s="165"/>
      <c r="B140" s="166"/>
      <c r="C140" s="166">
        <v>52</v>
      </c>
      <c r="D140" s="166" t="s">
        <v>17</v>
      </c>
      <c r="E140" s="134">
        <f>E136</f>
        <v>1457.9069613113013</v>
      </c>
      <c r="F140" s="134">
        <v>11281.44</v>
      </c>
      <c r="G140" s="105">
        <f>G136</f>
        <v>12702.98</v>
      </c>
    </row>
    <row r="141" spans="1:7" ht="24" thickBot="1" x14ac:dyDescent="0.3">
      <c r="A141" s="168"/>
      <c r="B141" s="168"/>
      <c r="C141" s="168"/>
      <c r="D141" s="168"/>
      <c r="E141" s="169"/>
      <c r="F141" s="170"/>
      <c r="G141" s="170"/>
    </row>
    <row r="142" spans="1:7" ht="15.75" thickBot="1" x14ac:dyDescent="0.3">
      <c r="A142" s="171">
        <v>3</v>
      </c>
      <c r="B142" s="172"/>
      <c r="C142" s="172">
        <v>43</v>
      </c>
      <c r="D142" s="172" t="s">
        <v>10</v>
      </c>
      <c r="E142" s="136">
        <f t="shared" ref="E142" si="36">SUM(E143+E152)</f>
        <v>47352.243679076244</v>
      </c>
      <c r="F142" s="136">
        <f>SUM(F143+F152)</f>
        <v>44215.26999999999</v>
      </c>
      <c r="G142" s="106">
        <f>SUM(G143+G152)</f>
        <v>22968.769999999997</v>
      </c>
    </row>
    <row r="143" spans="1:7" x14ac:dyDescent="0.25">
      <c r="A143" s="41"/>
      <c r="B143" s="42">
        <v>31</v>
      </c>
      <c r="C143" s="43"/>
      <c r="D143" s="40" t="s">
        <v>11</v>
      </c>
      <c r="E143" s="173">
        <f>E144+E147+E149</f>
        <v>3769.9887185612847</v>
      </c>
      <c r="F143" s="173">
        <f>SUM(F144+F147+F149)</f>
        <v>9096.81</v>
      </c>
      <c r="G143" s="107">
        <f>G144+G147+G149</f>
        <v>9367.8799999999992</v>
      </c>
    </row>
    <row r="144" spans="1:7" x14ac:dyDescent="0.25">
      <c r="A144" s="27"/>
      <c r="B144" s="1">
        <v>311</v>
      </c>
      <c r="C144" s="2"/>
      <c r="D144" s="3" t="s">
        <v>46</v>
      </c>
      <c r="E144" s="51">
        <f>E145+E146</f>
        <v>3104.3639259406727</v>
      </c>
      <c r="F144" s="51">
        <f>SUM(F145:F146)</f>
        <v>7466.71</v>
      </c>
      <c r="G144" s="63">
        <f>G145+G146</f>
        <v>7698.73</v>
      </c>
    </row>
    <row r="145" spans="1:7" x14ac:dyDescent="0.25">
      <c r="A145" s="27"/>
      <c r="B145" s="1">
        <v>3111</v>
      </c>
      <c r="C145" s="2"/>
      <c r="D145" s="3" t="s">
        <v>46</v>
      </c>
      <c r="E145" s="51">
        <f>23389.83/7.5345</f>
        <v>3104.3639259406727</v>
      </c>
      <c r="F145" s="51">
        <v>6935.82</v>
      </c>
      <c r="G145" s="63">
        <v>7419.9</v>
      </c>
    </row>
    <row r="146" spans="1:7" x14ac:dyDescent="0.25">
      <c r="A146" s="27"/>
      <c r="B146" s="1">
        <v>3114</v>
      </c>
      <c r="C146" s="2"/>
      <c r="D146" s="2" t="s">
        <v>48</v>
      </c>
      <c r="E146" s="51">
        <v>0</v>
      </c>
      <c r="F146" s="51">
        <v>530.89</v>
      </c>
      <c r="G146" s="63">
        <v>278.83</v>
      </c>
    </row>
    <row r="147" spans="1:7" x14ac:dyDescent="0.25">
      <c r="A147" s="27"/>
      <c r="B147" s="1">
        <v>312</v>
      </c>
      <c r="C147" s="2"/>
      <c r="D147" s="3" t="s">
        <v>49</v>
      </c>
      <c r="E147" s="51">
        <f>E148</f>
        <v>166.13312097683988</v>
      </c>
      <c r="F147" s="51">
        <f>SUM(F148)</f>
        <v>398.17</v>
      </c>
      <c r="G147" s="63">
        <f>G148</f>
        <v>400</v>
      </c>
    </row>
    <row r="148" spans="1:7" x14ac:dyDescent="0.25">
      <c r="A148" s="27"/>
      <c r="B148" s="1">
        <v>3121</v>
      </c>
      <c r="C148" s="2"/>
      <c r="D148" s="3" t="s">
        <v>49</v>
      </c>
      <c r="E148" s="51">
        <f>1251.73/7.5345</f>
        <v>166.13312097683988</v>
      </c>
      <c r="F148" s="51">
        <v>398.17</v>
      </c>
      <c r="G148" s="63">
        <v>400</v>
      </c>
    </row>
    <row r="149" spans="1:7" x14ac:dyDescent="0.25">
      <c r="A149" s="27"/>
      <c r="B149" s="1">
        <v>313</v>
      </c>
      <c r="C149" s="2"/>
      <c r="D149" s="3" t="s">
        <v>50</v>
      </c>
      <c r="E149" s="51">
        <f>E150</f>
        <v>499.49167164377195</v>
      </c>
      <c r="F149" s="51">
        <f>SUM(F150)</f>
        <v>1231.93</v>
      </c>
      <c r="G149" s="63">
        <f>G150</f>
        <v>1269.1500000000001</v>
      </c>
    </row>
    <row r="150" spans="1:7" x14ac:dyDescent="0.25">
      <c r="A150" s="27"/>
      <c r="B150" s="1">
        <v>3132</v>
      </c>
      <c r="C150" s="2"/>
      <c r="D150" s="3" t="s">
        <v>51</v>
      </c>
      <c r="E150" s="51">
        <f>3763.42/7.5345</f>
        <v>499.49167164377195</v>
      </c>
      <c r="F150" s="51">
        <v>1231.93</v>
      </c>
      <c r="G150" s="63">
        <v>1269.1500000000001</v>
      </c>
    </row>
    <row r="151" spans="1:7" ht="26.25" thickBot="1" x14ac:dyDescent="0.3">
      <c r="A151" s="20"/>
      <c r="B151" s="21"/>
      <c r="C151" s="33">
        <v>43</v>
      </c>
      <c r="D151" s="44" t="s">
        <v>27</v>
      </c>
      <c r="E151" s="128"/>
      <c r="F151" s="128">
        <v>9096.81</v>
      </c>
      <c r="G151" s="64">
        <f>G143</f>
        <v>9367.8799999999992</v>
      </c>
    </row>
    <row r="152" spans="1:7" x14ac:dyDescent="0.25">
      <c r="A152" s="49"/>
      <c r="B152" s="42">
        <v>32</v>
      </c>
      <c r="C152" s="43"/>
      <c r="D152" s="42" t="s">
        <v>13</v>
      </c>
      <c r="E152" s="96">
        <f>SUM(E153+E156+E162+E166+E169)</f>
        <v>43582.254960514962</v>
      </c>
      <c r="F152" s="96">
        <f>SUM(F153+F156+F162+F166+F169)</f>
        <v>35118.459999999992</v>
      </c>
      <c r="G152" s="56">
        <f>G153+G156+G162+G166+G169</f>
        <v>13600.89</v>
      </c>
    </row>
    <row r="153" spans="1:7" x14ac:dyDescent="0.25">
      <c r="A153" s="27"/>
      <c r="B153" s="1">
        <v>321</v>
      </c>
      <c r="C153" s="2"/>
      <c r="D153" s="2" t="s">
        <v>64</v>
      </c>
      <c r="E153" s="57">
        <f>SUM(E154:E155)</f>
        <v>132.67237374742848</v>
      </c>
      <c r="F153" s="57">
        <f t="shared" ref="F153" si="37">SUM(F154)</f>
        <v>477.8</v>
      </c>
      <c r="G153" s="62">
        <f>G154</f>
        <v>0</v>
      </c>
    </row>
    <row r="154" spans="1:7" x14ac:dyDescent="0.25">
      <c r="A154" s="27"/>
      <c r="B154" s="1">
        <v>3211</v>
      </c>
      <c r="C154" s="2"/>
      <c r="D154" s="2" t="s">
        <v>65</v>
      </c>
      <c r="E154" s="51">
        <v>0</v>
      </c>
      <c r="F154" s="51">
        <v>477.8</v>
      </c>
      <c r="G154" s="63">
        <v>0</v>
      </c>
    </row>
    <row r="155" spans="1:7" ht="25.5" x14ac:dyDescent="0.25">
      <c r="A155" s="27"/>
      <c r="B155" s="1">
        <v>3212</v>
      </c>
      <c r="C155" s="2"/>
      <c r="D155" s="4" t="s">
        <v>107</v>
      </c>
      <c r="E155" s="57">
        <f>999.62/7.5345</f>
        <v>132.67237374742848</v>
      </c>
      <c r="F155" s="57"/>
      <c r="G155" s="62">
        <v>392.89</v>
      </c>
    </row>
    <row r="156" spans="1:7" x14ac:dyDescent="0.25">
      <c r="A156" s="27"/>
      <c r="B156" s="1">
        <v>322</v>
      </c>
      <c r="C156" s="2"/>
      <c r="D156" s="2" t="s">
        <v>54</v>
      </c>
      <c r="E156" s="57">
        <f t="shared" ref="E156:F156" si="38">SUM(E157:E161)</f>
        <v>29555.973189992699</v>
      </c>
      <c r="F156" s="57">
        <f t="shared" si="38"/>
        <v>28880.489999999998</v>
      </c>
      <c r="G156" s="62">
        <f>G157+G158+G159+G160+G161</f>
        <v>300</v>
      </c>
    </row>
    <row r="157" spans="1:7" x14ac:dyDescent="0.25">
      <c r="A157" s="27"/>
      <c r="B157" s="1">
        <v>3221</v>
      </c>
      <c r="C157" s="2"/>
      <c r="D157" s="2" t="s">
        <v>108</v>
      </c>
      <c r="E157" s="51">
        <f>34536.88/7.5345</f>
        <v>4583.8317074789293</v>
      </c>
      <c r="F157" s="51">
        <v>5388.55</v>
      </c>
      <c r="G157" s="63">
        <v>100</v>
      </c>
    </row>
    <row r="158" spans="1:7" x14ac:dyDescent="0.25">
      <c r="A158" s="27"/>
      <c r="B158" s="1">
        <v>3222</v>
      </c>
      <c r="C158" s="2"/>
      <c r="D158" s="2" t="s">
        <v>56</v>
      </c>
      <c r="E158" s="51">
        <f>188152.6/7.5345</f>
        <v>24972.141482513769</v>
      </c>
      <c r="F158" s="51">
        <v>23491.94</v>
      </c>
      <c r="G158" s="63">
        <v>200</v>
      </c>
    </row>
    <row r="159" spans="1:7" ht="25.5" x14ac:dyDescent="0.25">
      <c r="A159" s="27"/>
      <c r="B159" s="1">
        <v>3224</v>
      </c>
      <c r="C159" s="2"/>
      <c r="D159" s="4" t="s">
        <v>57</v>
      </c>
      <c r="E159" s="51"/>
      <c r="F159" s="97"/>
      <c r="G159" s="63">
        <v>0</v>
      </c>
    </row>
    <row r="160" spans="1:7" x14ac:dyDescent="0.25">
      <c r="A160" s="27"/>
      <c r="B160" s="1">
        <v>3225</v>
      </c>
      <c r="C160" s="2"/>
      <c r="D160" s="2" t="s">
        <v>58</v>
      </c>
      <c r="E160" s="51">
        <v>0</v>
      </c>
      <c r="F160" s="51">
        <v>0</v>
      </c>
      <c r="G160" s="63">
        <v>0</v>
      </c>
    </row>
    <row r="161" spans="1:7" ht="25.5" x14ac:dyDescent="0.25">
      <c r="A161" s="27"/>
      <c r="B161" s="1">
        <v>3227</v>
      </c>
      <c r="C161" s="2"/>
      <c r="D161" s="4" t="s">
        <v>59</v>
      </c>
      <c r="E161" s="51"/>
      <c r="F161" s="97"/>
      <c r="G161" s="63">
        <v>0</v>
      </c>
    </row>
    <row r="162" spans="1:7" x14ac:dyDescent="0.25">
      <c r="A162" s="27"/>
      <c r="B162" s="1">
        <v>323</v>
      </c>
      <c r="C162" s="2"/>
      <c r="D162" s="2" t="s">
        <v>60</v>
      </c>
      <c r="E162" s="57">
        <f t="shared" ref="E162:F162" si="39">SUM(E163:E165)</f>
        <v>3050.5541177251307</v>
      </c>
      <c r="F162" s="57">
        <f t="shared" si="39"/>
        <v>3105.72</v>
      </c>
      <c r="G162" s="62">
        <f>G163+G164+G165</f>
        <v>1553.71</v>
      </c>
    </row>
    <row r="163" spans="1:7" x14ac:dyDescent="0.25">
      <c r="A163" s="27"/>
      <c r="B163" s="1">
        <v>3232</v>
      </c>
      <c r="C163" s="2"/>
      <c r="D163" s="2" t="s">
        <v>61</v>
      </c>
      <c r="E163" s="51">
        <f>(4775+600)/7.5345</f>
        <v>713.385095228615</v>
      </c>
      <c r="F163" s="97"/>
      <c r="G163" s="63">
        <v>246.51</v>
      </c>
    </row>
    <row r="164" spans="1:7" x14ac:dyDescent="0.25">
      <c r="A164" s="27"/>
      <c r="B164" s="1">
        <v>3236</v>
      </c>
      <c r="C164" s="2"/>
      <c r="D164" s="2" t="s">
        <v>66</v>
      </c>
      <c r="E164" s="51">
        <f>5785.4/7.5345</f>
        <v>767.85453580197748</v>
      </c>
      <c r="F164" s="51"/>
      <c r="G164" s="63">
        <v>0</v>
      </c>
    </row>
    <row r="165" spans="1:7" x14ac:dyDescent="0.25">
      <c r="A165" s="27"/>
      <c r="B165" s="1">
        <v>3239</v>
      </c>
      <c r="C165" s="2"/>
      <c r="D165" s="2" t="s">
        <v>63</v>
      </c>
      <c r="E165" s="51">
        <f>11824/7.5345</f>
        <v>1569.3144866945383</v>
      </c>
      <c r="F165" s="51">
        <v>3105.72</v>
      </c>
      <c r="G165" s="63">
        <v>1307.2</v>
      </c>
    </row>
    <row r="166" spans="1:7" ht="25.5" x14ac:dyDescent="0.25">
      <c r="A166" s="27"/>
      <c r="B166" s="1">
        <v>329</v>
      </c>
      <c r="C166" s="2"/>
      <c r="D166" s="4" t="s">
        <v>52</v>
      </c>
      <c r="E166" s="57">
        <f t="shared" ref="E166:F166" si="40">SUM(E167:E168)</f>
        <v>10843.055279049704</v>
      </c>
      <c r="F166" s="57">
        <f t="shared" si="40"/>
        <v>663.61</v>
      </c>
      <c r="G166" s="62">
        <f>G167+G168</f>
        <v>11747.18</v>
      </c>
    </row>
    <row r="167" spans="1:7" ht="25.5" x14ac:dyDescent="0.25">
      <c r="A167" s="27"/>
      <c r="B167" s="1">
        <v>3291</v>
      </c>
      <c r="C167" s="2"/>
      <c r="D167" s="12" t="s">
        <v>53</v>
      </c>
      <c r="E167" s="51">
        <f>1500/7.5345</f>
        <v>199.08421262193906</v>
      </c>
      <c r="F167" s="97"/>
      <c r="G167" s="63">
        <v>0</v>
      </c>
    </row>
    <row r="168" spans="1:7" ht="25.5" x14ac:dyDescent="0.25">
      <c r="A168" s="27"/>
      <c r="B168" s="1">
        <v>3299</v>
      </c>
      <c r="C168" s="2"/>
      <c r="D168" s="4" t="s">
        <v>52</v>
      </c>
      <c r="E168" s="51">
        <f>(6630+73567)/7.5345</f>
        <v>10643.971066427765</v>
      </c>
      <c r="F168" s="51">
        <v>663.61</v>
      </c>
      <c r="G168" s="63">
        <v>11747.18</v>
      </c>
    </row>
    <row r="169" spans="1:7" ht="25.5" x14ac:dyDescent="0.25">
      <c r="A169" s="35"/>
      <c r="B169" s="8"/>
      <c r="C169" s="9">
        <v>93</v>
      </c>
      <c r="D169" s="10" t="s">
        <v>93</v>
      </c>
      <c r="E169" s="58"/>
      <c r="F169" s="58">
        <v>1990.84</v>
      </c>
      <c r="G169" s="69">
        <v>0</v>
      </c>
    </row>
    <row r="170" spans="1:7" ht="15.75" thickBot="1" x14ac:dyDescent="0.3">
      <c r="A170" s="20"/>
      <c r="B170" s="21"/>
      <c r="C170" s="33">
        <v>43</v>
      </c>
      <c r="D170" s="33" t="s">
        <v>27</v>
      </c>
      <c r="E170" s="128">
        <f>E152</f>
        <v>43582.254960514962</v>
      </c>
      <c r="F170" s="128">
        <v>35118.46</v>
      </c>
      <c r="G170" s="64">
        <f>G152</f>
        <v>13600.89</v>
      </c>
    </row>
    <row r="171" spans="1:7" ht="25.5" customHeight="1" x14ac:dyDescent="0.25">
      <c r="A171" s="45">
        <v>4</v>
      </c>
      <c r="B171" s="46"/>
      <c r="C171" s="47">
        <v>43</v>
      </c>
      <c r="D171" s="48" t="s">
        <v>98</v>
      </c>
      <c r="E171" s="133">
        <f t="shared" ref="E171:G171" si="41">SUM(E172)</f>
        <v>401.89395447607671</v>
      </c>
      <c r="F171" s="133">
        <f t="shared" si="41"/>
        <v>663.61</v>
      </c>
      <c r="G171" s="68">
        <f t="shared" si="41"/>
        <v>8661.36</v>
      </c>
    </row>
    <row r="172" spans="1:7" ht="30" x14ac:dyDescent="0.25">
      <c r="A172" s="160"/>
      <c r="B172" s="161">
        <v>42</v>
      </c>
      <c r="C172" s="161"/>
      <c r="D172" s="162" t="s">
        <v>30</v>
      </c>
      <c r="E172" s="59">
        <f t="shared" ref="E172:F172" si="42">SUM(E173+E177)</f>
        <v>401.89395447607671</v>
      </c>
      <c r="F172" s="59">
        <f t="shared" si="42"/>
        <v>663.61</v>
      </c>
      <c r="G172" s="67">
        <f>G173+G177</f>
        <v>8661.36</v>
      </c>
    </row>
    <row r="173" spans="1:7" x14ac:dyDescent="0.25">
      <c r="A173" s="163"/>
      <c r="B173" s="138">
        <v>422</v>
      </c>
      <c r="C173" s="138"/>
      <c r="D173" s="139" t="s">
        <v>84</v>
      </c>
      <c r="E173" s="60">
        <f t="shared" ref="E173:F173" si="43">SUM(E174:E175)</f>
        <v>0</v>
      </c>
      <c r="F173" s="60">
        <f t="shared" si="43"/>
        <v>0</v>
      </c>
      <c r="G173" s="65">
        <f>G174+G175+G176</f>
        <v>8111.36</v>
      </c>
    </row>
    <row r="174" spans="1:7" ht="15" customHeight="1" x14ac:dyDescent="0.25">
      <c r="A174" s="163"/>
      <c r="B174" s="138">
        <v>4221</v>
      </c>
      <c r="C174" s="138"/>
      <c r="D174" s="174" t="s">
        <v>85</v>
      </c>
      <c r="E174" s="60"/>
      <c r="F174" s="138"/>
      <c r="G174" s="65">
        <v>7742.36</v>
      </c>
    </row>
    <row r="175" spans="1:7" x14ac:dyDescent="0.25">
      <c r="A175" s="163"/>
      <c r="B175" s="138">
        <v>4222</v>
      </c>
      <c r="C175" s="138"/>
      <c r="D175" s="139" t="s">
        <v>88</v>
      </c>
      <c r="E175" s="60"/>
      <c r="F175" s="138"/>
      <c r="G175" s="65">
        <v>0</v>
      </c>
    </row>
    <row r="176" spans="1:7" x14ac:dyDescent="0.25">
      <c r="A176" s="163"/>
      <c r="B176" s="138">
        <v>42271</v>
      </c>
      <c r="C176" s="138"/>
      <c r="D176" s="139" t="s">
        <v>104</v>
      </c>
      <c r="E176" s="60"/>
      <c r="F176" s="138"/>
      <c r="G176" s="65">
        <v>369</v>
      </c>
    </row>
    <row r="177" spans="1:7" ht="30" x14ac:dyDescent="0.25">
      <c r="A177" s="163"/>
      <c r="B177" s="138">
        <v>424</v>
      </c>
      <c r="C177" s="138"/>
      <c r="D177" s="139" t="s">
        <v>90</v>
      </c>
      <c r="E177" s="60">
        <f t="shared" ref="E177:F177" si="44">SUM(E178)</f>
        <v>401.89395447607671</v>
      </c>
      <c r="F177" s="60">
        <f t="shared" si="44"/>
        <v>663.61</v>
      </c>
      <c r="G177" s="65">
        <f>G178</f>
        <v>550</v>
      </c>
    </row>
    <row r="178" spans="1:7" x14ac:dyDescent="0.25">
      <c r="A178" s="163"/>
      <c r="B178" s="138">
        <v>4241</v>
      </c>
      <c r="C178" s="138"/>
      <c r="D178" s="139" t="s">
        <v>89</v>
      </c>
      <c r="E178" s="60">
        <f>3028.07/7.5345</f>
        <v>401.89395447607671</v>
      </c>
      <c r="F178" s="175">
        <v>663.61</v>
      </c>
      <c r="G178" s="65">
        <v>550</v>
      </c>
    </row>
    <row r="179" spans="1:7" ht="25.5" x14ac:dyDescent="0.25">
      <c r="A179" s="176"/>
      <c r="B179" s="177"/>
      <c r="C179" s="9">
        <v>93</v>
      </c>
      <c r="D179" s="10" t="s">
        <v>106</v>
      </c>
      <c r="E179" s="178"/>
      <c r="F179" s="179"/>
      <c r="G179" s="66">
        <v>7742.36</v>
      </c>
    </row>
    <row r="180" spans="1:7" ht="30.75" thickBot="1" x14ac:dyDescent="0.3">
      <c r="A180" s="165"/>
      <c r="B180" s="166"/>
      <c r="C180" s="166">
        <v>43</v>
      </c>
      <c r="D180" s="180" t="s">
        <v>27</v>
      </c>
      <c r="E180" s="134">
        <f>E171</f>
        <v>401.89395447607671</v>
      </c>
      <c r="F180" s="166">
        <v>663.31</v>
      </c>
      <c r="G180" s="105">
        <f>G172</f>
        <v>8661.36</v>
      </c>
    </row>
    <row r="181" spans="1:7" ht="15.75" thickBot="1" x14ac:dyDescent="0.3">
      <c r="A181" s="201"/>
      <c r="B181" s="201"/>
      <c r="C181" s="201"/>
      <c r="D181" s="201"/>
      <c r="E181" s="201"/>
      <c r="F181" s="201"/>
      <c r="G181" s="201"/>
    </row>
    <row r="182" spans="1:7" ht="15.75" thickBot="1" x14ac:dyDescent="0.3">
      <c r="A182" s="171">
        <v>3</v>
      </c>
      <c r="B182" s="172"/>
      <c r="C182" s="172">
        <v>51</v>
      </c>
      <c r="D182" s="181" t="s">
        <v>10</v>
      </c>
      <c r="E182" s="137">
        <f>SUM(E183+E193)</f>
        <v>21476.708474351315</v>
      </c>
      <c r="F182" s="137">
        <f>SUM(F183+F193)</f>
        <v>26315.87</v>
      </c>
      <c r="G182" s="121">
        <f>G183+G193</f>
        <v>31805.389999999996</v>
      </c>
    </row>
    <row r="183" spans="1:7" x14ac:dyDescent="0.25">
      <c r="A183" s="41"/>
      <c r="B183" s="42">
        <v>31</v>
      </c>
      <c r="C183" s="43"/>
      <c r="D183" s="40" t="s">
        <v>11</v>
      </c>
      <c r="E183" s="96">
        <f t="shared" ref="E183:F183" si="45">SUM(E184+E188+E190)</f>
        <v>18678.266640122103</v>
      </c>
      <c r="F183" s="96">
        <f t="shared" si="45"/>
        <v>23415.75</v>
      </c>
      <c r="G183" s="56">
        <f>G184+G188+G190</f>
        <v>27963.409999999996</v>
      </c>
    </row>
    <row r="184" spans="1:7" x14ac:dyDescent="0.25">
      <c r="A184" s="27"/>
      <c r="B184" s="1">
        <v>311</v>
      </c>
      <c r="C184" s="2"/>
      <c r="D184" s="3" t="s">
        <v>45</v>
      </c>
      <c r="E184" s="57">
        <f t="shared" ref="E184:F184" si="46">SUM(E185:E187)</f>
        <v>15736.470900524255</v>
      </c>
      <c r="F184" s="57">
        <f t="shared" si="46"/>
        <v>19791.63</v>
      </c>
      <c r="G184" s="62">
        <f>G185+G186+G187</f>
        <v>23981.67</v>
      </c>
    </row>
    <row r="185" spans="1:7" x14ac:dyDescent="0.25">
      <c r="A185" s="27"/>
      <c r="B185" s="1">
        <v>3111</v>
      </c>
      <c r="C185" s="2"/>
      <c r="D185" s="3" t="s">
        <v>46</v>
      </c>
      <c r="E185" s="51">
        <f>118566.44/7.5345</f>
        <v>15736.470900524255</v>
      </c>
      <c r="F185" s="51">
        <v>19791.63</v>
      </c>
      <c r="G185" s="63">
        <v>23981.67</v>
      </c>
    </row>
    <row r="186" spans="1:7" x14ac:dyDescent="0.25">
      <c r="A186" s="27"/>
      <c r="B186" s="1">
        <v>3113</v>
      </c>
      <c r="C186" s="2"/>
      <c r="D186" s="3" t="s">
        <v>47</v>
      </c>
      <c r="E186" s="51"/>
      <c r="F186" s="97"/>
      <c r="G186" s="63">
        <v>0</v>
      </c>
    </row>
    <row r="187" spans="1:7" x14ac:dyDescent="0.25">
      <c r="A187" s="27"/>
      <c r="B187" s="1">
        <v>3114</v>
      </c>
      <c r="C187" s="2"/>
      <c r="D187" s="2" t="s">
        <v>48</v>
      </c>
      <c r="E187" s="51"/>
      <c r="F187" s="97"/>
      <c r="G187" s="63">
        <v>0</v>
      </c>
    </row>
    <row r="188" spans="1:7" x14ac:dyDescent="0.25">
      <c r="A188" s="27"/>
      <c r="B188" s="1">
        <v>312</v>
      </c>
      <c r="C188" s="2"/>
      <c r="D188" s="3" t="s">
        <v>49</v>
      </c>
      <c r="E188" s="57">
        <f t="shared" ref="E188:F188" si="47">SUM(E189)</f>
        <v>716.7031654389807</v>
      </c>
      <c r="F188" s="57">
        <f t="shared" si="47"/>
        <v>358.48</v>
      </c>
      <c r="G188" s="62">
        <f>G189</f>
        <v>0</v>
      </c>
    </row>
    <row r="189" spans="1:7" x14ac:dyDescent="0.25">
      <c r="A189" s="27"/>
      <c r="B189" s="1">
        <v>3121</v>
      </c>
      <c r="C189" s="2"/>
      <c r="D189" s="3" t="s">
        <v>49</v>
      </c>
      <c r="E189" s="51">
        <f>5400/7.5345</f>
        <v>716.7031654389807</v>
      </c>
      <c r="F189" s="51">
        <v>358.48</v>
      </c>
      <c r="G189" s="63">
        <v>0</v>
      </c>
    </row>
    <row r="190" spans="1:7" x14ac:dyDescent="0.25">
      <c r="A190" s="27"/>
      <c r="B190" s="1">
        <v>313</v>
      </c>
      <c r="C190" s="2"/>
      <c r="D190" s="3" t="s">
        <v>50</v>
      </c>
      <c r="E190" s="57">
        <f t="shared" ref="E190:F190" si="48">SUM(E191)</f>
        <v>2225.092574158869</v>
      </c>
      <c r="F190" s="57">
        <f t="shared" si="48"/>
        <v>3265.64</v>
      </c>
      <c r="G190" s="62">
        <f>G191</f>
        <v>3981.74</v>
      </c>
    </row>
    <row r="191" spans="1:7" x14ac:dyDescent="0.25">
      <c r="A191" s="27"/>
      <c r="B191" s="1">
        <v>3132</v>
      </c>
      <c r="C191" s="2"/>
      <c r="D191" s="3" t="s">
        <v>51</v>
      </c>
      <c r="E191" s="51">
        <f>16764.96/7.5345</f>
        <v>2225.092574158869</v>
      </c>
      <c r="F191" s="51">
        <v>3265.64</v>
      </c>
      <c r="G191" s="63">
        <v>3981.74</v>
      </c>
    </row>
    <row r="192" spans="1:7" ht="15.75" thickBot="1" x14ac:dyDescent="0.3">
      <c r="A192" s="20"/>
      <c r="B192" s="21"/>
      <c r="C192" s="33">
        <v>51</v>
      </c>
      <c r="D192" s="33" t="s">
        <v>23</v>
      </c>
      <c r="E192" s="128">
        <f>E183</f>
        <v>18678.266640122103</v>
      </c>
      <c r="F192" s="128">
        <v>23415.75</v>
      </c>
      <c r="G192" s="64">
        <f>G183</f>
        <v>27963.409999999996</v>
      </c>
    </row>
    <row r="193" spans="1:7" x14ac:dyDescent="0.25">
      <c r="A193" s="41"/>
      <c r="B193" s="42">
        <v>32</v>
      </c>
      <c r="C193" s="43"/>
      <c r="D193" s="42" t="s">
        <v>13</v>
      </c>
      <c r="E193" s="96">
        <f>SUM(E194+E196)</f>
        <v>2798.4418342292124</v>
      </c>
      <c r="F193" s="96">
        <f>SUM(F194+F196)</f>
        <v>2900.12</v>
      </c>
      <c r="G193" s="56">
        <f>G194+G196</f>
        <v>3841.98</v>
      </c>
    </row>
    <row r="194" spans="1:7" x14ac:dyDescent="0.25">
      <c r="A194" s="27"/>
      <c r="B194" s="1">
        <v>321</v>
      </c>
      <c r="C194" s="2"/>
      <c r="D194" s="2" t="s">
        <v>64</v>
      </c>
      <c r="E194" s="57">
        <f t="shared" ref="E194:F194" si="49">SUM(E195)</f>
        <v>606.26318932908623</v>
      </c>
      <c r="F194" s="57">
        <f t="shared" si="49"/>
        <v>776.56</v>
      </c>
      <c r="G194" s="62">
        <f>G195</f>
        <v>1328.54</v>
      </c>
    </row>
    <row r="195" spans="1:7" ht="25.5" x14ac:dyDescent="0.25">
      <c r="A195" s="27"/>
      <c r="B195" s="1">
        <v>3212</v>
      </c>
      <c r="C195" s="2"/>
      <c r="D195" s="4" t="s">
        <v>67</v>
      </c>
      <c r="E195" s="51">
        <f>4567.89/7.5345</f>
        <v>606.26318932908623</v>
      </c>
      <c r="F195" s="51">
        <v>776.56</v>
      </c>
      <c r="G195" s="63">
        <v>1328.54</v>
      </c>
    </row>
    <row r="196" spans="1:7" x14ac:dyDescent="0.25">
      <c r="A196" s="27"/>
      <c r="B196" s="1">
        <v>322</v>
      </c>
      <c r="C196" s="2"/>
      <c r="D196" s="2" t="s">
        <v>54</v>
      </c>
      <c r="E196" s="57">
        <f t="shared" ref="E196:F196" si="50">SUM(E197)</f>
        <v>2192.1786449001261</v>
      </c>
      <c r="F196" s="57">
        <f t="shared" si="50"/>
        <v>2123.56</v>
      </c>
      <c r="G196" s="62">
        <f>G197</f>
        <v>2513.44</v>
      </c>
    </row>
    <row r="197" spans="1:7" x14ac:dyDescent="0.25">
      <c r="A197" s="27"/>
      <c r="B197" s="1">
        <v>3222</v>
      </c>
      <c r="C197" s="2"/>
      <c r="D197" s="2" t="s">
        <v>56</v>
      </c>
      <c r="E197" s="51">
        <f>16516.97/7.5345</f>
        <v>2192.1786449001261</v>
      </c>
      <c r="F197" s="51">
        <v>2123.56</v>
      </c>
      <c r="G197" s="63">
        <v>2513.44</v>
      </c>
    </row>
    <row r="198" spans="1:7" ht="15.75" thickBot="1" x14ac:dyDescent="0.3">
      <c r="A198" s="20"/>
      <c r="B198" s="21"/>
      <c r="C198" s="33">
        <v>51</v>
      </c>
      <c r="D198" s="33" t="s">
        <v>23</v>
      </c>
      <c r="E198" s="128">
        <f>E193</f>
        <v>2798.4418342292124</v>
      </c>
      <c r="F198" s="128">
        <v>2900.12</v>
      </c>
      <c r="G198" s="64">
        <f>G193</f>
        <v>3841.98</v>
      </c>
    </row>
    <row r="199" spans="1:7" ht="15.75" thickBot="1" x14ac:dyDescent="0.3">
      <c r="A199" s="200"/>
      <c r="B199" s="200"/>
      <c r="C199" s="200"/>
      <c r="D199" s="200"/>
      <c r="E199" s="200"/>
      <c r="F199" s="200"/>
      <c r="G199" s="200"/>
    </row>
    <row r="200" spans="1:7" ht="15.75" thickBot="1" x14ac:dyDescent="0.3">
      <c r="A200" s="78">
        <v>3</v>
      </c>
      <c r="B200" s="79"/>
      <c r="C200" s="80">
        <v>44</v>
      </c>
      <c r="D200" s="80" t="s">
        <v>10</v>
      </c>
      <c r="E200" s="129">
        <f t="shared" ref="E200" si="51">SUM(E201+E228)</f>
        <v>50643.956466918833</v>
      </c>
      <c r="F200" s="129">
        <f>SUM(F201+F228)</f>
        <v>47196.25</v>
      </c>
      <c r="G200" s="81">
        <f>SUM(G201+G228)</f>
        <v>50255.76</v>
      </c>
    </row>
    <row r="201" spans="1:7" x14ac:dyDescent="0.25">
      <c r="A201" s="41"/>
      <c r="B201" s="42">
        <v>32</v>
      </c>
      <c r="C201" s="43"/>
      <c r="D201" s="42" t="s">
        <v>13</v>
      </c>
      <c r="E201" s="96">
        <f t="shared" ref="E201:F201" si="52">SUM(E202+E207+E214+E223)</f>
        <v>49716.910213020099</v>
      </c>
      <c r="F201" s="96">
        <f t="shared" si="52"/>
        <v>46784.81</v>
      </c>
      <c r="G201" s="56">
        <f>G202+G207+G214+G223</f>
        <v>49355.47</v>
      </c>
    </row>
    <row r="202" spans="1:7" x14ac:dyDescent="0.25">
      <c r="A202" s="27"/>
      <c r="B202" s="1">
        <v>321</v>
      </c>
      <c r="C202" s="2"/>
      <c r="D202" s="2" t="s">
        <v>64</v>
      </c>
      <c r="E202" s="57">
        <f t="shared" ref="E202:F202" si="53">SUM(E203:E206)</f>
        <v>2890.6470236910213</v>
      </c>
      <c r="F202" s="57">
        <f t="shared" si="53"/>
        <v>3185.35</v>
      </c>
      <c r="G202" s="62">
        <f>G203+G204+G205+G206</f>
        <v>4486.37</v>
      </c>
    </row>
    <row r="203" spans="1:7" x14ac:dyDescent="0.25">
      <c r="A203" s="27"/>
      <c r="B203" s="1">
        <v>3211</v>
      </c>
      <c r="C203" s="2"/>
      <c r="D203" s="2" t="s">
        <v>65</v>
      </c>
      <c r="E203" s="51">
        <f>16586.18/7.5345</f>
        <v>2201.3643904705023</v>
      </c>
      <c r="F203" s="51">
        <v>2256.29</v>
      </c>
      <c r="G203" s="63">
        <v>3023.79</v>
      </c>
    </row>
    <row r="204" spans="1:7" ht="25.5" x14ac:dyDescent="0.25">
      <c r="A204" s="27"/>
      <c r="B204" s="1">
        <v>3212</v>
      </c>
      <c r="C204" s="2"/>
      <c r="D204" s="4" t="s">
        <v>67</v>
      </c>
      <c r="E204" s="51"/>
      <c r="F204" s="97"/>
      <c r="G204" s="63">
        <v>0</v>
      </c>
    </row>
    <row r="205" spans="1:7" x14ac:dyDescent="0.25">
      <c r="A205" s="27"/>
      <c r="B205" s="1">
        <v>3213</v>
      </c>
      <c r="C205" s="2"/>
      <c r="D205" s="2" t="s">
        <v>68</v>
      </c>
      <c r="E205" s="51">
        <f>2400/7.5345</f>
        <v>318.53474019510253</v>
      </c>
      <c r="F205" s="51">
        <v>398.17</v>
      </c>
      <c r="G205" s="63">
        <v>540</v>
      </c>
    </row>
    <row r="206" spans="1:7" ht="25.5" x14ac:dyDescent="0.25">
      <c r="A206" s="27"/>
      <c r="B206" s="1">
        <v>3214</v>
      </c>
      <c r="C206" s="2"/>
      <c r="D206" s="4" t="s">
        <v>69</v>
      </c>
      <c r="E206" s="51">
        <f>2793.4/7.5345</f>
        <v>370.74789302541643</v>
      </c>
      <c r="F206" s="51">
        <v>530.89</v>
      </c>
      <c r="G206" s="63">
        <v>922.58</v>
      </c>
    </row>
    <row r="207" spans="1:7" x14ac:dyDescent="0.25">
      <c r="A207" s="27"/>
      <c r="B207" s="1">
        <v>322</v>
      </c>
      <c r="C207" s="2"/>
      <c r="D207" s="2" t="s">
        <v>54</v>
      </c>
      <c r="E207" s="57">
        <f t="shared" ref="E207:F207" si="54">SUM(E208:E213)</f>
        <v>31554.981750613835</v>
      </c>
      <c r="F207" s="57">
        <f t="shared" si="54"/>
        <v>30924.42</v>
      </c>
      <c r="G207" s="62">
        <f>G208+G209+G210+G211+G212+G213</f>
        <v>29669.96</v>
      </c>
    </row>
    <row r="208" spans="1:7" x14ac:dyDescent="0.25">
      <c r="A208" s="27"/>
      <c r="B208" s="1">
        <v>3221</v>
      </c>
      <c r="C208" s="2"/>
      <c r="D208" s="2" t="s">
        <v>55</v>
      </c>
      <c r="E208" s="51">
        <f>90373.7/7.5345</f>
        <v>11994.65127082089</v>
      </c>
      <c r="F208" s="51">
        <v>7963.37</v>
      </c>
      <c r="G208" s="63">
        <v>11253.44</v>
      </c>
    </row>
    <row r="209" spans="1:7" x14ac:dyDescent="0.25">
      <c r="A209" s="27"/>
      <c r="B209" s="1">
        <v>3222</v>
      </c>
      <c r="C209" s="2"/>
      <c r="D209" s="2" t="s">
        <v>56</v>
      </c>
      <c r="E209" s="51">
        <f>2444.76/7.5345</f>
        <v>324.47541309974122</v>
      </c>
      <c r="F209" s="51">
        <v>663.61</v>
      </c>
      <c r="G209" s="63">
        <v>302.58999999999997</v>
      </c>
    </row>
    <row r="210" spans="1:7" x14ac:dyDescent="0.25">
      <c r="A210" s="27"/>
      <c r="B210" s="1">
        <v>3223</v>
      </c>
      <c r="C210" s="2"/>
      <c r="D210" s="4" t="s">
        <v>70</v>
      </c>
      <c r="E210" s="51">
        <f>124241.84/7.5345</f>
        <v>16489.725927400621</v>
      </c>
      <c r="F210" s="51">
        <v>20572.04</v>
      </c>
      <c r="G210" s="63">
        <v>16650.5</v>
      </c>
    </row>
    <row r="211" spans="1:7" ht="25.5" x14ac:dyDescent="0.25">
      <c r="A211" s="27"/>
      <c r="B211" s="1">
        <v>3224</v>
      </c>
      <c r="C211" s="2"/>
      <c r="D211" s="4" t="s">
        <v>57</v>
      </c>
      <c r="E211" s="51">
        <f>11277.11/7.5345</f>
        <v>1496.7297100006635</v>
      </c>
      <c r="F211" s="51">
        <v>1061.78</v>
      </c>
      <c r="G211" s="63">
        <v>663.64</v>
      </c>
    </row>
    <row r="212" spans="1:7" x14ac:dyDescent="0.25">
      <c r="A212" s="27"/>
      <c r="B212" s="1">
        <v>3225</v>
      </c>
      <c r="C212" s="2"/>
      <c r="D212" s="2" t="s">
        <v>58</v>
      </c>
      <c r="E212" s="51">
        <f>7362.91/7.5345</f>
        <v>977.22609330413422</v>
      </c>
      <c r="F212" s="51">
        <v>265.45</v>
      </c>
      <c r="G212" s="63">
        <v>796.18</v>
      </c>
    </row>
    <row r="213" spans="1:7" ht="25.5" x14ac:dyDescent="0.25">
      <c r="A213" s="27"/>
      <c r="B213" s="1">
        <v>3227</v>
      </c>
      <c r="C213" s="2"/>
      <c r="D213" s="4" t="s">
        <v>59</v>
      </c>
      <c r="E213" s="51">
        <f>2050.69/7.5345</f>
        <v>272.17333598778947</v>
      </c>
      <c r="F213" s="51">
        <v>398.17</v>
      </c>
      <c r="G213" s="63">
        <v>3.61</v>
      </c>
    </row>
    <row r="214" spans="1:7" x14ac:dyDescent="0.25">
      <c r="A214" s="27"/>
      <c r="B214" s="1">
        <v>323</v>
      </c>
      <c r="C214" s="2"/>
      <c r="D214" s="2" t="s">
        <v>60</v>
      </c>
      <c r="E214" s="57">
        <f t="shared" ref="E214:F214" si="55">SUM(E215:E222)</f>
        <v>13841.032583449465</v>
      </c>
      <c r="F214" s="57">
        <f t="shared" si="55"/>
        <v>11148.73</v>
      </c>
      <c r="G214" s="62">
        <f>G215+G216+G217+G218+G219+G220+G221+G222</f>
        <v>14992.249999999998</v>
      </c>
    </row>
    <row r="215" spans="1:7" ht="25.5" x14ac:dyDescent="0.25">
      <c r="A215" s="27"/>
      <c r="B215" s="1">
        <v>3231</v>
      </c>
      <c r="C215" s="2"/>
      <c r="D215" s="4" t="s">
        <v>71</v>
      </c>
      <c r="E215" s="51">
        <f>12825.89/7.5345</f>
        <v>1702.288141217068</v>
      </c>
      <c r="F215" s="51">
        <v>1725.4</v>
      </c>
      <c r="G215" s="63">
        <v>1440.32</v>
      </c>
    </row>
    <row r="216" spans="1:7" x14ac:dyDescent="0.25">
      <c r="A216" s="27"/>
      <c r="B216" s="1">
        <v>3232</v>
      </c>
      <c r="C216" s="2"/>
      <c r="D216" s="2" t="s">
        <v>61</v>
      </c>
      <c r="E216" s="51">
        <f>25203.27/7.5345</f>
        <v>3345.0487756320922</v>
      </c>
      <c r="F216" s="51">
        <v>3185.35</v>
      </c>
      <c r="G216" s="63">
        <v>4039.38</v>
      </c>
    </row>
    <row r="217" spans="1:7" x14ac:dyDescent="0.25">
      <c r="A217" s="27"/>
      <c r="B217" s="1">
        <v>3233</v>
      </c>
      <c r="C217" s="2"/>
      <c r="D217" s="2" t="s">
        <v>109</v>
      </c>
      <c r="E217" s="51">
        <f>4761/7.5345</f>
        <v>631.89329086203463</v>
      </c>
      <c r="F217" s="51">
        <v>132.72</v>
      </c>
      <c r="G217" s="63">
        <v>248.85</v>
      </c>
    </row>
    <row r="218" spans="1:7" x14ac:dyDescent="0.25">
      <c r="A218" s="27"/>
      <c r="B218" s="1">
        <v>3234</v>
      </c>
      <c r="C218" s="2"/>
      <c r="D218" s="2" t="s">
        <v>62</v>
      </c>
      <c r="E218" s="51">
        <f>24857.4/7.5345</f>
        <v>3299.1439378857258</v>
      </c>
      <c r="F218" s="51">
        <v>3185.35</v>
      </c>
      <c r="G218" s="63">
        <v>4100.1099999999997</v>
      </c>
    </row>
    <row r="219" spans="1:7" x14ac:dyDescent="0.25">
      <c r="A219" s="27"/>
      <c r="B219" s="1">
        <v>3236</v>
      </c>
      <c r="C219" s="2"/>
      <c r="D219" s="2" t="s">
        <v>66</v>
      </c>
      <c r="E219" s="51">
        <f>935/7.5345</f>
        <v>124.09582586767536</v>
      </c>
      <c r="F219" s="51">
        <v>1194.51</v>
      </c>
      <c r="G219" s="63">
        <v>2734.56</v>
      </c>
    </row>
    <row r="220" spans="1:7" x14ac:dyDescent="0.25">
      <c r="A220" s="27"/>
      <c r="B220" s="1">
        <v>3237</v>
      </c>
      <c r="C220" s="2"/>
      <c r="D220" s="1" t="s">
        <v>72</v>
      </c>
      <c r="E220" s="51">
        <f>29083.32/7.5345</f>
        <v>3860.0199084212618</v>
      </c>
      <c r="F220" s="51">
        <v>265.45</v>
      </c>
      <c r="G220" s="63">
        <v>1456.89</v>
      </c>
    </row>
    <row r="221" spans="1:7" x14ac:dyDescent="0.25">
      <c r="A221" s="27"/>
      <c r="B221" s="1">
        <v>3238</v>
      </c>
      <c r="C221" s="2"/>
      <c r="D221" s="2" t="s">
        <v>73</v>
      </c>
      <c r="E221" s="51">
        <f>6138.38/7.5345</f>
        <v>814.70303271617229</v>
      </c>
      <c r="F221" s="51">
        <v>929.06</v>
      </c>
      <c r="G221" s="63">
        <v>940.14</v>
      </c>
    </row>
    <row r="222" spans="1:7" x14ac:dyDescent="0.25">
      <c r="A222" s="27"/>
      <c r="B222" s="1">
        <v>3239</v>
      </c>
      <c r="C222" s="2"/>
      <c r="D222" s="2" t="s">
        <v>63</v>
      </c>
      <c r="E222" s="51">
        <f>481/7.5345</f>
        <v>63.83967084743513</v>
      </c>
      <c r="F222" s="51">
        <v>530.89</v>
      </c>
      <c r="G222" s="63">
        <v>32</v>
      </c>
    </row>
    <row r="223" spans="1:7" ht="25.5" x14ac:dyDescent="0.25">
      <c r="A223" s="27"/>
      <c r="B223" s="1">
        <v>329</v>
      </c>
      <c r="C223" s="2"/>
      <c r="D223" s="4" t="s">
        <v>52</v>
      </c>
      <c r="E223" s="57">
        <f t="shared" ref="E223:F223" si="56">SUM(E224:E226)</f>
        <v>1430.2488552657771</v>
      </c>
      <c r="F223" s="57">
        <f t="shared" si="56"/>
        <v>1526.31</v>
      </c>
      <c r="G223" s="62">
        <f>G224+G225+G226</f>
        <v>206.89</v>
      </c>
    </row>
    <row r="224" spans="1:7" x14ac:dyDescent="0.25">
      <c r="A224" s="27"/>
      <c r="B224" s="1">
        <v>3294</v>
      </c>
      <c r="C224" s="2"/>
      <c r="D224" s="2" t="s">
        <v>74</v>
      </c>
      <c r="E224" s="51">
        <f>1200/7.5345</f>
        <v>159.26737009755126</v>
      </c>
      <c r="F224" s="51">
        <v>199.08</v>
      </c>
      <c r="G224" s="63">
        <v>163.09</v>
      </c>
    </row>
    <row r="225" spans="1:7" x14ac:dyDescent="0.25">
      <c r="A225" s="27"/>
      <c r="B225" s="1">
        <v>3295</v>
      </c>
      <c r="C225" s="2"/>
      <c r="D225" s="2" t="s">
        <v>80</v>
      </c>
      <c r="E225" s="51">
        <f>555/7.5345</f>
        <v>73.661158670117459</v>
      </c>
      <c r="F225" s="97"/>
      <c r="G225" s="63">
        <v>43.8</v>
      </c>
    </row>
    <row r="226" spans="1:7" ht="26.25" thickBot="1" x14ac:dyDescent="0.3">
      <c r="A226" s="116"/>
      <c r="B226" s="117">
        <v>3299</v>
      </c>
      <c r="C226" s="118"/>
      <c r="D226" s="119" t="s">
        <v>52</v>
      </c>
      <c r="E226" s="130">
        <f>9021.21/7.5345</f>
        <v>1197.3203264981084</v>
      </c>
      <c r="F226" s="130">
        <v>1327.23</v>
      </c>
      <c r="G226" s="120">
        <v>0</v>
      </c>
    </row>
    <row r="227" spans="1:7" x14ac:dyDescent="0.25">
      <c r="A227" s="45"/>
      <c r="B227" s="46"/>
      <c r="C227" s="47">
        <v>44</v>
      </c>
      <c r="D227" s="47" t="s">
        <v>24</v>
      </c>
      <c r="E227" s="132">
        <f>E201</f>
        <v>49716.910213020099</v>
      </c>
      <c r="F227" s="132">
        <v>46784.81</v>
      </c>
      <c r="G227" s="113">
        <f>G201</f>
        <v>49355.47</v>
      </c>
    </row>
    <row r="228" spans="1:7" x14ac:dyDescent="0.25">
      <c r="A228" s="114"/>
      <c r="B228" s="13">
        <v>34</v>
      </c>
      <c r="C228" s="14"/>
      <c r="D228" s="14" t="s">
        <v>28</v>
      </c>
      <c r="E228" s="131">
        <f t="shared" ref="E228:F229" si="57">SUM(E229)</f>
        <v>927.0462538987324</v>
      </c>
      <c r="F228" s="131">
        <f t="shared" si="57"/>
        <v>411.44</v>
      </c>
      <c r="G228" s="115">
        <f>G229</f>
        <v>900.29</v>
      </c>
    </row>
    <row r="229" spans="1:7" x14ac:dyDescent="0.25">
      <c r="A229" s="27"/>
      <c r="B229" s="1">
        <v>343</v>
      </c>
      <c r="C229" s="2"/>
      <c r="D229" s="2" t="s">
        <v>97</v>
      </c>
      <c r="E229" s="57">
        <f t="shared" si="57"/>
        <v>927.0462538987324</v>
      </c>
      <c r="F229" s="57">
        <f t="shared" si="57"/>
        <v>411.44</v>
      </c>
      <c r="G229" s="62">
        <f>G230</f>
        <v>900.29</v>
      </c>
    </row>
    <row r="230" spans="1:7" ht="25.5" x14ac:dyDescent="0.25">
      <c r="A230" s="27"/>
      <c r="B230" s="1">
        <v>3431</v>
      </c>
      <c r="C230" s="2"/>
      <c r="D230" s="4" t="s">
        <v>75</v>
      </c>
      <c r="E230" s="57">
        <f>6984.83/7.5345</f>
        <v>927.0462538987324</v>
      </c>
      <c r="F230" s="51">
        <v>411.44</v>
      </c>
      <c r="G230" s="63">
        <v>900.29</v>
      </c>
    </row>
    <row r="231" spans="1:7" x14ac:dyDescent="0.25">
      <c r="A231" s="27"/>
      <c r="B231" s="1">
        <v>3433</v>
      </c>
      <c r="C231" s="2"/>
      <c r="D231" s="2" t="s">
        <v>76</v>
      </c>
      <c r="E231" s="57"/>
      <c r="F231" s="97"/>
      <c r="G231" s="63">
        <v>2.13</v>
      </c>
    </row>
    <row r="232" spans="1:7" ht="15.75" thickBot="1" x14ac:dyDescent="0.3">
      <c r="A232" s="20"/>
      <c r="B232" s="32"/>
      <c r="C232" s="33">
        <v>44</v>
      </c>
      <c r="D232" s="33" t="s">
        <v>24</v>
      </c>
      <c r="E232" s="128">
        <f>E228</f>
        <v>927.0462538987324</v>
      </c>
      <c r="F232" s="128">
        <v>411.44</v>
      </c>
      <c r="G232" s="64">
        <f>G228</f>
        <v>900.29</v>
      </c>
    </row>
    <row r="233" spans="1:7" ht="15.75" thickBot="1" x14ac:dyDescent="0.3">
      <c r="A233" s="200"/>
      <c r="B233" s="200"/>
      <c r="C233" s="200"/>
      <c r="D233" s="200"/>
      <c r="E233" s="200"/>
      <c r="F233" s="200"/>
      <c r="G233" s="200"/>
    </row>
    <row r="234" spans="1:7" ht="25.5" x14ac:dyDescent="0.25">
      <c r="A234" s="45">
        <v>4</v>
      </c>
      <c r="B234" s="103"/>
      <c r="C234" s="47">
        <v>44</v>
      </c>
      <c r="D234" s="48" t="s">
        <v>94</v>
      </c>
      <c r="E234" s="133">
        <f t="shared" ref="E234:G235" si="58">SUM(E235)</f>
        <v>4406.6082686309637</v>
      </c>
      <c r="F234" s="133">
        <f t="shared" si="58"/>
        <v>0</v>
      </c>
      <c r="G234" s="111">
        <f>G242</f>
        <v>95048.81</v>
      </c>
    </row>
    <row r="235" spans="1:7" ht="45" x14ac:dyDescent="0.25">
      <c r="A235" s="160"/>
      <c r="B235" s="161">
        <v>42</v>
      </c>
      <c r="C235" s="161"/>
      <c r="D235" s="162" t="s">
        <v>83</v>
      </c>
      <c r="E235" s="59">
        <f t="shared" si="58"/>
        <v>4406.6082686309637</v>
      </c>
      <c r="F235" s="59">
        <f t="shared" si="58"/>
        <v>0</v>
      </c>
      <c r="G235" s="104">
        <f t="shared" si="58"/>
        <v>0</v>
      </c>
    </row>
    <row r="236" spans="1:7" x14ac:dyDescent="0.25">
      <c r="A236" s="163"/>
      <c r="B236" s="138">
        <v>422</v>
      </c>
      <c r="C236" s="138"/>
      <c r="D236" s="139" t="s">
        <v>84</v>
      </c>
      <c r="E236" s="60">
        <f t="shared" ref="E236:G236" si="59">SUM(E237:E240)</f>
        <v>4406.6082686309637</v>
      </c>
      <c r="F236" s="60">
        <f t="shared" si="59"/>
        <v>0</v>
      </c>
      <c r="G236" s="65">
        <f t="shared" si="59"/>
        <v>0</v>
      </c>
    </row>
    <row r="237" spans="1:7" ht="30" x14ac:dyDescent="0.25">
      <c r="A237" s="163"/>
      <c r="B237" s="138">
        <v>4221</v>
      </c>
      <c r="C237" s="138"/>
      <c r="D237" s="139" t="s">
        <v>85</v>
      </c>
      <c r="E237" s="60">
        <f>33201.59/7.5345</f>
        <v>4406.6082686309637</v>
      </c>
      <c r="F237" s="60"/>
      <c r="G237" s="65"/>
    </row>
    <row r="238" spans="1:7" ht="30" x14ac:dyDescent="0.25">
      <c r="A238" s="163"/>
      <c r="B238" s="138">
        <v>4223</v>
      </c>
      <c r="C238" s="138"/>
      <c r="D238" s="139" t="s">
        <v>86</v>
      </c>
      <c r="E238" s="60"/>
      <c r="F238" s="138"/>
      <c r="G238" s="65"/>
    </row>
    <row r="239" spans="1:7" ht="30" x14ac:dyDescent="0.25">
      <c r="A239" s="163"/>
      <c r="B239" s="138">
        <v>4226</v>
      </c>
      <c r="C239" s="138"/>
      <c r="D239" s="139" t="s">
        <v>87</v>
      </c>
      <c r="E239" s="60"/>
      <c r="F239" s="138"/>
      <c r="G239" s="65"/>
    </row>
    <row r="240" spans="1:7" x14ac:dyDescent="0.25">
      <c r="A240" s="163"/>
      <c r="B240" s="138">
        <v>4227</v>
      </c>
      <c r="C240" s="138"/>
      <c r="D240" s="139" t="s">
        <v>92</v>
      </c>
      <c r="E240" s="60"/>
      <c r="F240" s="138">
        <v>0</v>
      </c>
      <c r="G240" s="65"/>
    </row>
    <row r="241" spans="1:7" ht="15.75" thickBot="1" x14ac:dyDescent="0.3">
      <c r="A241" s="182"/>
      <c r="B241" s="183"/>
      <c r="C241" s="183"/>
      <c r="D241" s="184"/>
      <c r="E241" s="185"/>
      <c r="F241" s="183"/>
      <c r="G241" s="112"/>
    </row>
    <row r="242" spans="1:7" ht="45" x14ac:dyDescent="0.25">
      <c r="A242" s="186"/>
      <c r="B242" s="187">
        <v>45</v>
      </c>
      <c r="C242" s="187"/>
      <c r="D242" s="188" t="s">
        <v>101</v>
      </c>
      <c r="E242" s="189"/>
      <c r="F242" s="190"/>
      <c r="G242" s="108">
        <f>G243</f>
        <v>95048.81</v>
      </c>
    </row>
    <row r="243" spans="1:7" ht="30" x14ac:dyDescent="0.25">
      <c r="A243" s="163"/>
      <c r="B243" s="138">
        <v>451</v>
      </c>
      <c r="C243" s="138"/>
      <c r="D243" s="139" t="s">
        <v>102</v>
      </c>
      <c r="E243" s="60"/>
      <c r="F243" s="138"/>
      <c r="G243" s="65">
        <v>95048.81</v>
      </c>
    </row>
    <row r="244" spans="1:7" x14ac:dyDescent="0.25">
      <c r="A244" s="191"/>
      <c r="B244" s="192"/>
      <c r="C244" s="192">
        <v>44</v>
      </c>
      <c r="D244" s="192" t="s">
        <v>24</v>
      </c>
      <c r="E244" s="70"/>
      <c r="F244" s="192"/>
      <c r="G244" s="109">
        <f>G242</f>
        <v>95048.81</v>
      </c>
    </row>
    <row r="245" spans="1:7" ht="15.75" thickBot="1" x14ac:dyDescent="0.3">
      <c r="A245" s="20"/>
      <c r="B245" s="21"/>
      <c r="C245" s="33">
        <v>61</v>
      </c>
      <c r="D245" s="33" t="s">
        <v>25</v>
      </c>
      <c r="E245" s="128"/>
      <c r="F245" s="102"/>
      <c r="G245" s="77"/>
    </row>
    <row r="246" spans="1:7" ht="15.75" thickBot="1" x14ac:dyDescent="0.3">
      <c r="A246" s="193"/>
      <c r="B246" s="194"/>
      <c r="C246" s="194"/>
      <c r="D246" s="195" t="s">
        <v>31</v>
      </c>
      <c r="E246" s="196">
        <f>SUM(E53+E72+E101+E142+E182+E200+E136+E171+E234+E245)</f>
        <v>928997.725920439</v>
      </c>
      <c r="F246" s="196">
        <f>SUM(F53+F72+F101+F142+F182+F200+F136+F171+F234+F245)</f>
        <v>914175.72000000009</v>
      </c>
      <c r="G246" s="110">
        <f>SUM(G53+G72+G101+G142+G182+G200+G136+G171+G234+G245)</f>
        <v>1126120.8700000001</v>
      </c>
    </row>
    <row r="248" spans="1:7" x14ac:dyDescent="0.25">
      <c r="A248" t="s">
        <v>116</v>
      </c>
      <c r="B248"/>
      <c r="C248"/>
      <c r="D248"/>
      <c r="E248" t="s">
        <v>117</v>
      </c>
      <c r="F248"/>
      <c r="G248" t="s">
        <v>118</v>
      </c>
    </row>
    <row r="249" spans="1:7" x14ac:dyDescent="0.25">
      <c r="A249" t="s">
        <v>119</v>
      </c>
      <c r="B249"/>
      <c r="C249"/>
      <c r="D249"/>
      <c r="E249" t="s">
        <v>120</v>
      </c>
      <c r="F249"/>
      <c r="G249" t="s">
        <v>121</v>
      </c>
    </row>
  </sheetData>
  <mergeCells count="13">
    <mergeCell ref="A1:D1"/>
    <mergeCell ref="A3:D3"/>
    <mergeCell ref="A4:D4"/>
    <mergeCell ref="A5:D5"/>
    <mergeCell ref="A233:G233"/>
    <mergeCell ref="A199:G199"/>
    <mergeCell ref="A181:G181"/>
    <mergeCell ref="A135:G135"/>
    <mergeCell ref="A7:G7"/>
    <mergeCell ref="A9:G9"/>
    <mergeCell ref="A11:G11"/>
    <mergeCell ref="A13:G13"/>
    <mergeCell ref="A50:G5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Izmjena Račun prihoda i rash.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2024-01-04T11:07:44Z</cp:lastPrinted>
  <dcterms:created xsi:type="dcterms:W3CDTF">2022-08-12T12:51:27Z</dcterms:created>
  <dcterms:modified xsi:type="dcterms:W3CDTF">2024-01-04T11:09:10Z</dcterms:modified>
</cp:coreProperties>
</file>